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360" windowWidth="15195" windowHeight="11700" firstSheet="2" activeTab="2"/>
  </bookViews>
  <sheets>
    <sheet name="T" sheetId="10" state="hidden" r:id="rId1"/>
    <sheet name="Созламалар" sheetId="9" state="hidden" r:id="rId2"/>
    <sheet name="Anketa-2014" sheetId="8" r:id="rId3"/>
    <sheet name="Sizning natijangiz" sheetId="11" r:id="rId4"/>
  </sheets>
  <definedNames>
    <definedName name="db_fifarank">Созламалар!$B$15:$C$46</definedName>
    <definedName name="gmt_delta">Созламалар!$G$14</definedName>
    <definedName name="itype">Созламалар!$G$46</definedName>
    <definedName name="lang">Созламалар!$G$13</definedName>
    <definedName name="lang_list">T!$1:$1</definedName>
    <definedName name="T">T!$1:$1048576</definedName>
    <definedName name="Жамоа">'Anketa-2014'!#REF!</definedName>
    <definedName name="Жамоалар">T!$AS$2:$AS$33</definedName>
    <definedName name="_xlnm.Print_Area" localSheetId="2">'Anketa-2014'!$A$1:$T$98</definedName>
    <definedName name="_xlnm.Print_Area" localSheetId="3">'Sizning natijangiz'!$A$1:$S$97</definedName>
  </definedNames>
  <calcPr calcId="145621"/>
</workbook>
</file>

<file path=xl/calcChain.xml><?xml version="1.0" encoding="utf-8"?>
<calcChain xmlns="http://schemas.openxmlformats.org/spreadsheetml/2006/main">
  <c r="BT106" i="11" l="1"/>
  <c r="BT105" i="11"/>
  <c r="BT104" i="11"/>
  <c r="BT103" i="11"/>
  <c r="BC94" i="11"/>
  <c r="BG94" i="11" s="1"/>
  <c r="BB94" i="11"/>
  <c r="BC90" i="11"/>
  <c r="BB90" i="11"/>
  <c r="BC86" i="11"/>
  <c r="BB86" i="11"/>
  <c r="BC85" i="11"/>
  <c r="BJ85" i="11" s="1"/>
  <c r="BB85" i="11"/>
  <c r="BQ85" i="11" s="1"/>
  <c r="BC81" i="11"/>
  <c r="BL81" i="11" s="1"/>
  <c r="BB81" i="11"/>
  <c r="BC80" i="11"/>
  <c r="BB80" i="11"/>
  <c r="BI80" i="11" s="1"/>
  <c r="BC79" i="11"/>
  <c r="BB79" i="11"/>
  <c r="BI79" i="11" s="1"/>
  <c r="BC78" i="11"/>
  <c r="BB78" i="11"/>
  <c r="BC74" i="11"/>
  <c r="BB74" i="11"/>
  <c r="BC73" i="11"/>
  <c r="BB73" i="11"/>
  <c r="BQ73" i="11" s="1"/>
  <c r="BC72" i="11"/>
  <c r="BB72" i="11"/>
  <c r="BI72" i="11" s="1"/>
  <c r="BP72" i="11" s="1"/>
  <c r="BC71" i="11"/>
  <c r="BB71" i="11"/>
  <c r="BQ71" i="11" s="1"/>
  <c r="BC70" i="11"/>
  <c r="BL70" i="11" s="1"/>
  <c r="BB70" i="11"/>
  <c r="BC69" i="11"/>
  <c r="BB69" i="11"/>
  <c r="BQ69" i="11" s="1"/>
  <c r="BC68" i="11"/>
  <c r="BB68" i="11"/>
  <c r="BC67" i="11"/>
  <c r="BB67" i="11"/>
  <c r="BI67" i="11" s="1"/>
  <c r="BP67" i="11" s="1"/>
  <c r="AX91" i="8"/>
  <c r="BE94" i="11"/>
  <c r="BD94" i="11"/>
  <c r="CB90" i="11"/>
  <c r="BE90" i="11"/>
  <c r="BF90" i="11" s="1"/>
  <c r="BD90" i="11"/>
  <c r="BK90" i="11" s="1"/>
  <c r="BJ90" i="11"/>
  <c r="BI90" i="11"/>
  <c r="BP90" i="11" s="1"/>
  <c r="BE86" i="11"/>
  <c r="BD86" i="11"/>
  <c r="BE85" i="11"/>
  <c r="BF85" i="11" s="1"/>
  <c r="BD85" i="11"/>
  <c r="BK85" i="11" s="1"/>
  <c r="BE81" i="11"/>
  <c r="BD81" i="11"/>
  <c r="BQ80" i="11"/>
  <c r="BE80" i="11"/>
  <c r="BJ80" i="11" s="1"/>
  <c r="BD80" i="11"/>
  <c r="BE79" i="11"/>
  <c r="BD79" i="11"/>
  <c r="BG79" i="11"/>
  <c r="BE78" i="11"/>
  <c r="BD78" i="11"/>
  <c r="BG78" i="11"/>
  <c r="BE74" i="11"/>
  <c r="BD74" i="11"/>
  <c r="BE73" i="11"/>
  <c r="BD73" i="11"/>
  <c r="BE72" i="11"/>
  <c r="BJ72" i="11" s="1"/>
  <c r="BD72" i="11"/>
  <c r="BE71" i="11"/>
  <c r="BD71" i="11"/>
  <c r="BL71" i="11"/>
  <c r="BE70" i="11"/>
  <c r="BD70" i="11"/>
  <c r="BE69" i="11"/>
  <c r="BD69" i="11"/>
  <c r="BK68" i="11"/>
  <c r="BE68" i="11"/>
  <c r="BD68" i="11"/>
  <c r="BF68" i="11" s="1"/>
  <c r="BE67" i="11"/>
  <c r="BJ67" i="11" s="1"/>
  <c r="BD67" i="11"/>
  <c r="BJ94" i="11" l="1"/>
  <c r="BP80" i="11"/>
  <c r="BG68" i="11"/>
  <c r="BG86" i="11"/>
  <c r="BY90" i="11"/>
  <c r="BU105" i="11"/>
  <c r="BV105" i="11" s="1"/>
  <c r="H105" i="11" s="1"/>
  <c r="BU103" i="11"/>
  <c r="BV103" i="11" s="1"/>
  <c r="H103" i="11" s="1"/>
  <c r="BI86" i="11"/>
  <c r="BL79" i="11"/>
  <c r="BG73" i="11"/>
  <c r="BL67" i="11"/>
  <c r="BI78" i="11"/>
  <c r="BJ79" i="11"/>
  <c r="BP79" i="11" s="1"/>
  <c r="BG80" i="11"/>
  <c r="BL80" i="11"/>
  <c r="BQ90" i="11"/>
  <c r="BG69" i="11"/>
  <c r="BI81" i="11"/>
  <c r="BL86" i="11"/>
  <c r="BL69" i="11"/>
  <c r="BL74" i="11"/>
  <c r="BQ79" i="11"/>
  <c r="BG81" i="11"/>
  <c r="BI85" i="11"/>
  <c r="BP85" i="11" s="1"/>
  <c r="BG67" i="11"/>
  <c r="BJ70" i="11"/>
  <c r="BG71" i="11"/>
  <c r="BL72" i="11"/>
  <c r="BL73" i="11"/>
  <c r="BJ74" i="11"/>
  <c r="BJ78" i="11"/>
  <c r="BJ68" i="11"/>
  <c r="BL68" i="11"/>
  <c r="BN68" i="11" s="1"/>
  <c r="BF70" i="11"/>
  <c r="BQ70" i="11"/>
  <c r="BK70" i="11"/>
  <c r="BF74" i="11"/>
  <c r="BK74" i="11"/>
  <c r="BQ74" i="11"/>
  <c r="BJ86" i="11"/>
  <c r="BP86" i="11" s="1"/>
  <c r="BQ86" i="11"/>
  <c r="BK67" i="11"/>
  <c r="BF67" i="11"/>
  <c r="BQ67" i="11"/>
  <c r="BH68" i="11"/>
  <c r="BO68" i="11" s="1"/>
  <c r="BJ81" i="11"/>
  <c r="BP81" i="11" s="1"/>
  <c r="BQ81" i="11"/>
  <c r="BK78" i="11"/>
  <c r="BQ78" i="11"/>
  <c r="BF78" i="11"/>
  <c r="BH78" i="11" s="1"/>
  <c r="BO78" i="11" s="1"/>
  <c r="BI70" i="11"/>
  <c r="BF72" i="11"/>
  <c r="BK72" i="11"/>
  <c r="BQ72" i="11"/>
  <c r="BI74" i="11"/>
  <c r="BK79" i="11"/>
  <c r="BF79" i="11"/>
  <c r="BH79" i="11" s="1"/>
  <c r="BO79" i="11" s="1"/>
  <c r="BI68" i="11"/>
  <c r="BQ68" i="11"/>
  <c r="BF69" i="11"/>
  <c r="BI69" i="11"/>
  <c r="BG70" i="11"/>
  <c r="BF71" i="11"/>
  <c r="BH71" i="11" s="1"/>
  <c r="BO71" i="11" s="1"/>
  <c r="BI71" i="11"/>
  <c r="BG72" i="11"/>
  <c r="BF73" i="11"/>
  <c r="BH73" i="11" s="1"/>
  <c r="BO73" i="11" s="1"/>
  <c r="BI73" i="11"/>
  <c r="BG74" i="11"/>
  <c r="BL78" i="11"/>
  <c r="BK80" i="11"/>
  <c r="BF80" i="11"/>
  <c r="BH80" i="11" s="1"/>
  <c r="BO80" i="11" s="1"/>
  <c r="BF94" i="11"/>
  <c r="BH94" i="11" s="1"/>
  <c r="BO94" i="11" s="1"/>
  <c r="BQ94" i="11"/>
  <c r="BI94" i="11"/>
  <c r="BK94" i="11"/>
  <c r="BJ69" i="11"/>
  <c r="BK69" i="11"/>
  <c r="BJ71" i="11"/>
  <c r="BK71" i="11"/>
  <c r="BJ73" i="11"/>
  <c r="BK73" i="11"/>
  <c r="BK81" i="11"/>
  <c r="BF81" i="11"/>
  <c r="BH81" i="11" s="1"/>
  <c r="BO81" i="11" s="1"/>
  <c r="BL85" i="11"/>
  <c r="BM85" i="11" s="1"/>
  <c r="BG85" i="11"/>
  <c r="BH85" i="11" s="1"/>
  <c r="BO85" i="11" s="1"/>
  <c r="BK86" i="11"/>
  <c r="BF86" i="11"/>
  <c r="BH86" i="11" s="1"/>
  <c r="BO86" i="11" s="1"/>
  <c r="BL90" i="11"/>
  <c r="BN90" i="11" s="1"/>
  <c r="BG90" i="11"/>
  <c r="BH90" i="11" s="1"/>
  <c r="BO90" i="11" s="1"/>
  <c r="BL94" i="11"/>
  <c r="A64" i="11"/>
  <c r="T64" i="11"/>
  <c r="C68" i="11" s="1"/>
  <c r="U64" i="11"/>
  <c r="V64" i="11" s="1"/>
  <c r="H78" i="11" s="1"/>
  <c r="T65" i="11"/>
  <c r="B69" i="11" s="1"/>
  <c r="U65" i="11"/>
  <c r="V65" i="11" s="1"/>
  <c r="E80" i="11" s="1"/>
  <c r="T67" i="11"/>
  <c r="B70" i="11" s="1"/>
  <c r="U67" i="11"/>
  <c r="V67" i="11" s="1"/>
  <c r="H80" i="11" s="1"/>
  <c r="D68" i="11"/>
  <c r="T68" i="11"/>
  <c r="B71" i="11" s="1"/>
  <c r="U68" i="11"/>
  <c r="V68" i="11" s="1"/>
  <c r="E79" i="11" s="1"/>
  <c r="T69" i="11"/>
  <c r="B72" i="11" s="1"/>
  <c r="U69" i="11"/>
  <c r="V69" i="11" s="1"/>
  <c r="H79" i="11" s="1"/>
  <c r="T70" i="11"/>
  <c r="B73" i="11" s="1"/>
  <c r="U70" i="11"/>
  <c r="V70" i="11" s="1"/>
  <c r="E81" i="11" s="1"/>
  <c r="C71" i="11"/>
  <c r="T71" i="11"/>
  <c r="D74" i="11" s="1"/>
  <c r="U71" i="11"/>
  <c r="V71" i="11" s="1"/>
  <c r="H81" i="11" s="1"/>
  <c r="T75" i="11"/>
  <c r="B78" i="11" s="1"/>
  <c r="U75" i="11"/>
  <c r="V75" i="11" s="1"/>
  <c r="E85" i="11" s="1"/>
  <c r="A76" i="11"/>
  <c r="T76" i="11"/>
  <c r="B79" i="11" s="1"/>
  <c r="U76" i="11"/>
  <c r="V76" i="11" s="1"/>
  <c r="H85" i="11" s="1"/>
  <c r="T77" i="11"/>
  <c r="D80" i="11" s="1"/>
  <c r="U77" i="11"/>
  <c r="V77" i="11" s="1"/>
  <c r="E86" i="11" s="1"/>
  <c r="T78" i="11"/>
  <c r="D81" i="11" s="1"/>
  <c r="U78" i="11"/>
  <c r="V78" i="11" s="1"/>
  <c r="H86" i="11" s="1"/>
  <c r="T82" i="11"/>
  <c r="D85" i="11" s="1"/>
  <c r="U82" i="11"/>
  <c r="V82" i="11" s="1"/>
  <c r="E94" i="11" s="1"/>
  <c r="W82" i="11"/>
  <c r="Z82" i="11" s="1"/>
  <c r="E90" i="11" s="1"/>
  <c r="A83" i="11"/>
  <c r="T83" i="11"/>
  <c r="B86" i="11" s="1"/>
  <c r="U83" i="11"/>
  <c r="V83" i="11" s="1"/>
  <c r="H94" i="11" s="1"/>
  <c r="W83" i="11"/>
  <c r="Z83" i="11" s="1"/>
  <c r="H90" i="11" s="1"/>
  <c r="T87" i="11"/>
  <c r="B90" i="11" s="1"/>
  <c r="V87" i="11"/>
  <c r="A88" i="11"/>
  <c r="T91" i="11"/>
  <c r="B94" i="11" s="1"/>
  <c r="U91" i="11"/>
  <c r="V91" i="11" s="1"/>
  <c r="A92" i="11"/>
  <c r="A96" i="11"/>
  <c r="BB13" i="11"/>
  <c r="BC13" i="11"/>
  <c r="BD13" i="11"/>
  <c r="BE13" i="11"/>
  <c r="BB14" i="11"/>
  <c r="BC14" i="11"/>
  <c r="BD14" i="11"/>
  <c r="BE14" i="11"/>
  <c r="BB15" i="11"/>
  <c r="BC15" i="11"/>
  <c r="BD15" i="11"/>
  <c r="BE15" i="11"/>
  <c r="BB16" i="11"/>
  <c r="BC16" i="11"/>
  <c r="BD16" i="11"/>
  <c r="BE16" i="11"/>
  <c r="BB17" i="11"/>
  <c r="BC17" i="11"/>
  <c r="BD17" i="11"/>
  <c r="BE17" i="11"/>
  <c r="BB18" i="11"/>
  <c r="BC18" i="11"/>
  <c r="BD18" i="11"/>
  <c r="BE18" i="11"/>
  <c r="BB19" i="11"/>
  <c r="BC19" i="11"/>
  <c r="BD19" i="11"/>
  <c r="BE19" i="11"/>
  <c r="BB20" i="11"/>
  <c r="BC20" i="11"/>
  <c r="BD20" i="11"/>
  <c r="BE20" i="11"/>
  <c r="BB21" i="11"/>
  <c r="BC21" i="11"/>
  <c r="BD21" i="11"/>
  <c r="BE21" i="11"/>
  <c r="BB22" i="11"/>
  <c r="BC22" i="11"/>
  <c r="BD22" i="11"/>
  <c r="BE22" i="11"/>
  <c r="BB23" i="11"/>
  <c r="BC23" i="11"/>
  <c r="BD23" i="11"/>
  <c r="BE23" i="11"/>
  <c r="BB24" i="11"/>
  <c r="BC24" i="11"/>
  <c r="BD24" i="11"/>
  <c r="BE24" i="11"/>
  <c r="BB25" i="11"/>
  <c r="BC25" i="11"/>
  <c r="BD25" i="11"/>
  <c r="BE25" i="11"/>
  <c r="BB26" i="11"/>
  <c r="BC26" i="11"/>
  <c r="BD26" i="11"/>
  <c r="BE26" i="11"/>
  <c r="BB27" i="11"/>
  <c r="BC27" i="11"/>
  <c r="BD27" i="11"/>
  <c r="BE27" i="11"/>
  <c r="BB28" i="11"/>
  <c r="BC28" i="11"/>
  <c r="BD28" i="11"/>
  <c r="BE28" i="11"/>
  <c r="BB29" i="11"/>
  <c r="BC29" i="11"/>
  <c r="BD29" i="11"/>
  <c r="BE29" i="11"/>
  <c r="BB30" i="11"/>
  <c r="BC30" i="11"/>
  <c r="BD30" i="11"/>
  <c r="BE30" i="11"/>
  <c r="BB31" i="11"/>
  <c r="BC31" i="11"/>
  <c r="BD31" i="11"/>
  <c r="BE31" i="11"/>
  <c r="BB32" i="11"/>
  <c r="BC32" i="11"/>
  <c r="BD32" i="11"/>
  <c r="BE32" i="11"/>
  <c r="BB33" i="11"/>
  <c r="BC33" i="11"/>
  <c r="BD33" i="11"/>
  <c r="BE33" i="11"/>
  <c r="BB34" i="11"/>
  <c r="BC34" i="11"/>
  <c r="BD34" i="11"/>
  <c r="BE34" i="11"/>
  <c r="BB35" i="11"/>
  <c r="BC35" i="11"/>
  <c r="BD35" i="11"/>
  <c r="BE35" i="11"/>
  <c r="BB36" i="11"/>
  <c r="BC36" i="11"/>
  <c r="BD36" i="11"/>
  <c r="BE36" i="11"/>
  <c r="BB37" i="11"/>
  <c r="BC37" i="11"/>
  <c r="BD37" i="11"/>
  <c r="BE37" i="11"/>
  <c r="BB38" i="11"/>
  <c r="BC38" i="11"/>
  <c r="BD38" i="11"/>
  <c r="BE38" i="11"/>
  <c r="BB39" i="11"/>
  <c r="BC39" i="11"/>
  <c r="BD39" i="11"/>
  <c r="BE39" i="11"/>
  <c r="BB40" i="11"/>
  <c r="BC40" i="11"/>
  <c r="BD40" i="11"/>
  <c r="BE40" i="11"/>
  <c r="BB41" i="11"/>
  <c r="BC41" i="11"/>
  <c r="BD41" i="11"/>
  <c r="BK41" i="11" s="1"/>
  <c r="BE41" i="11"/>
  <c r="BB42" i="11"/>
  <c r="BC42" i="11"/>
  <c r="BD42" i="11"/>
  <c r="BE42" i="11"/>
  <c r="BB43" i="11"/>
  <c r="BC43" i="11"/>
  <c r="BD43" i="11"/>
  <c r="BE43" i="11"/>
  <c r="BB44" i="11"/>
  <c r="BC44" i="11"/>
  <c r="BD44" i="11"/>
  <c r="BE44" i="11"/>
  <c r="BB45" i="11"/>
  <c r="BC45" i="11"/>
  <c r="BD45" i="11"/>
  <c r="BE45" i="11"/>
  <c r="BB46" i="11"/>
  <c r="BC46" i="11"/>
  <c r="BD46" i="11"/>
  <c r="BE46" i="11"/>
  <c r="BB47" i="11"/>
  <c r="BC47" i="11"/>
  <c r="BD47" i="11"/>
  <c r="BE47" i="11"/>
  <c r="BB48" i="11"/>
  <c r="BC48" i="11"/>
  <c r="BD48" i="11"/>
  <c r="BE48" i="11"/>
  <c r="BB49" i="11"/>
  <c r="BC49" i="11"/>
  <c r="BD49" i="11"/>
  <c r="BE49" i="11"/>
  <c r="BB50" i="11"/>
  <c r="BC50" i="11"/>
  <c r="BD50" i="11"/>
  <c r="BE50" i="11"/>
  <c r="BB51" i="11"/>
  <c r="BC51" i="11"/>
  <c r="BD51" i="11"/>
  <c r="BE51" i="11"/>
  <c r="BB52" i="11"/>
  <c r="BC52" i="11"/>
  <c r="BD52" i="11"/>
  <c r="BE52" i="11"/>
  <c r="BB53" i="11"/>
  <c r="BC53" i="11"/>
  <c r="BD53" i="11"/>
  <c r="BE53" i="11"/>
  <c r="BB54" i="11"/>
  <c r="BC54" i="11"/>
  <c r="BD54" i="11"/>
  <c r="BE54" i="11"/>
  <c r="BB55" i="11"/>
  <c r="BC55" i="11"/>
  <c r="BD55" i="11"/>
  <c r="BE55" i="11"/>
  <c r="BB56" i="11"/>
  <c r="BC56" i="11"/>
  <c r="BD56" i="11"/>
  <c r="BE56" i="11"/>
  <c r="BB57" i="11"/>
  <c r="BC57" i="11"/>
  <c r="BD57" i="11"/>
  <c r="BE57" i="11"/>
  <c r="BB58" i="11"/>
  <c r="BC58" i="11"/>
  <c r="BD58" i="11"/>
  <c r="BE58" i="11"/>
  <c r="BB59" i="11"/>
  <c r="BC59" i="11"/>
  <c r="BD59" i="11"/>
  <c r="BE59" i="11"/>
  <c r="BE12" i="11"/>
  <c r="BD12" i="11"/>
  <c r="BC12" i="11"/>
  <c r="BB12" i="11"/>
  <c r="BP94" i="11" l="1"/>
  <c r="BP74" i="11"/>
  <c r="BP70" i="11"/>
  <c r="BM90" i="11"/>
  <c r="BP68" i="11"/>
  <c r="BM68" i="11"/>
  <c r="BN85" i="11"/>
  <c r="BR85" i="11" s="1"/>
  <c r="BV85" i="11" s="1"/>
  <c r="BW85" i="11" s="1"/>
  <c r="BR68" i="11"/>
  <c r="BV68" i="11" s="1"/>
  <c r="BW68" i="11" s="1"/>
  <c r="D73" i="11"/>
  <c r="BH69" i="11"/>
  <c r="BO69" i="11" s="1"/>
  <c r="BH67" i="11"/>
  <c r="BO67" i="11" s="1"/>
  <c r="BP78" i="11"/>
  <c r="BN86" i="11"/>
  <c r="BM86" i="11"/>
  <c r="BR90" i="11"/>
  <c r="BV90" i="11" s="1"/>
  <c r="BW90" i="11" s="1"/>
  <c r="BN74" i="11"/>
  <c r="BM74" i="11"/>
  <c r="BN70" i="11"/>
  <c r="BM70" i="11"/>
  <c r="BN81" i="11"/>
  <c r="BM81" i="11"/>
  <c r="BN71" i="11"/>
  <c r="BM71" i="11"/>
  <c r="BN80" i="11"/>
  <c r="BM80" i="11"/>
  <c r="BP73" i="11"/>
  <c r="BN72" i="11"/>
  <c r="BM72" i="11"/>
  <c r="BH74" i="11"/>
  <c r="BO74" i="11" s="1"/>
  <c r="BN94" i="11"/>
  <c r="BM94" i="11"/>
  <c r="BP71" i="11"/>
  <c r="BH72" i="11"/>
  <c r="BO72" i="11" s="1"/>
  <c r="BM78" i="11"/>
  <c r="BN78" i="11"/>
  <c r="BN67" i="11"/>
  <c r="BM67" i="11"/>
  <c r="BH70" i="11"/>
  <c r="BO70" i="11" s="1"/>
  <c r="BN73" i="11"/>
  <c r="BM73" i="11"/>
  <c r="BN69" i="11"/>
  <c r="BM69" i="11"/>
  <c r="BP69" i="11"/>
  <c r="BN79" i="11"/>
  <c r="BM79" i="11"/>
  <c r="BI59" i="11"/>
  <c r="BI51" i="11"/>
  <c r="BI50" i="11"/>
  <c r="C85" i="11"/>
  <c r="D79" i="11"/>
  <c r="BK29" i="11"/>
  <c r="C94" i="11"/>
  <c r="B74" i="11"/>
  <c r="BK59" i="11"/>
  <c r="BJ39" i="11"/>
  <c r="B85" i="11"/>
  <c r="C80" i="11"/>
  <c r="C69" i="11"/>
  <c r="F96" i="11"/>
  <c r="B80" i="11"/>
  <c r="D78" i="11"/>
  <c r="D72" i="11"/>
  <c r="D71" i="11"/>
  <c r="C72" i="11"/>
  <c r="C73" i="11"/>
  <c r="D70" i="11"/>
  <c r="D90" i="11"/>
  <c r="D86" i="11"/>
  <c r="D94" i="11"/>
  <c r="B81" i="11"/>
  <c r="C74" i="11"/>
  <c r="C70" i="11"/>
  <c r="D69" i="11"/>
  <c r="BF26" i="11"/>
  <c r="BF23" i="11"/>
  <c r="BK17" i="11"/>
  <c r="BJ26" i="11"/>
  <c r="C90" i="11"/>
  <c r="C86" i="11"/>
  <c r="BF39" i="11"/>
  <c r="BF38" i="11"/>
  <c r="BF37" i="11"/>
  <c r="BI34" i="11"/>
  <c r="BI31" i="11"/>
  <c r="BF27" i="11"/>
  <c r="BK26" i="11"/>
  <c r="C81" i="11"/>
  <c r="B68" i="11"/>
  <c r="BF22" i="11"/>
  <c r="C79" i="11"/>
  <c r="C78" i="11"/>
  <c r="BI27" i="11"/>
  <c r="BF57" i="11"/>
  <c r="BF54" i="11"/>
  <c r="BK52" i="11"/>
  <c r="BJ56" i="11"/>
  <c r="BJ54" i="11"/>
  <c r="BF48" i="11"/>
  <c r="BK44" i="11"/>
  <c r="BK43" i="11"/>
  <c r="BJ17" i="11"/>
  <c r="BJ15" i="11"/>
  <c r="BJ48" i="11"/>
  <c r="BK37" i="11"/>
  <c r="BF35" i="11"/>
  <c r="BK22" i="11"/>
  <c r="BF18" i="11"/>
  <c r="BG24" i="11"/>
  <c r="BG53" i="11"/>
  <c r="BQ32" i="11"/>
  <c r="BG16" i="11"/>
  <c r="BK57" i="11"/>
  <c r="BQ57" i="11"/>
  <c r="BK48" i="11"/>
  <c r="BK39" i="11"/>
  <c r="BF30" i="11"/>
  <c r="BI55" i="11"/>
  <c r="BI53" i="11"/>
  <c r="BG52" i="11"/>
  <c r="BL51" i="11"/>
  <c r="BK50" i="11"/>
  <c r="BL42" i="11"/>
  <c r="BF41" i="11"/>
  <c r="BF33" i="11"/>
  <c r="BJ30" i="11"/>
  <c r="BK25" i="11"/>
  <c r="BI23" i="11"/>
  <c r="BK21" i="11"/>
  <c r="BF15" i="11"/>
  <c r="BF14" i="11"/>
  <c r="BF53" i="11"/>
  <c r="BF45" i="11"/>
  <c r="BJ41" i="11"/>
  <c r="BJ40" i="11"/>
  <c r="BJ37" i="11"/>
  <c r="BF31" i="11"/>
  <c r="BK30" i="11"/>
  <c r="BJ29" i="11"/>
  <c r="BJ22" i="11"/>
  <c r="BG29" i="11"/>
  <c r="BJ53" i="11"/>
  <c r="BG49" i="11"/>
  <c r="BJ52" i="11"/>
  <c r="BQ59" i="11"/>
  <c r="BL58" i="11"/>
  <c r="BQ24" i="11"/>
  <c r="BG21" i="11"/>
  <c r="BQ16" i="11"/>
  <c r="BL48" i="11"/>
  <c r="BG45" i="11"/>
  <c r="BG33" i="11"/>
  <c r="BJ44" i="11"/>
  <c r="BI36" i="11"/>
  <c r="BQ15" i="11"/>
  <c r="BL32" i="11"/>
  <c r="BL25" i="11"/>
  <c r="BM25" i="11" s="1"/>
  <c r="BL20" i="11"/>
  <c r="BG18" i="11"/>
  <c r="BL59" i="11"/>
  <c r="BN59" i="11" s="1"/>
  <c r="BJ55" i="11"/>
  <c r="BL52" i="11"/>
  <c r="BL46" i="11"/>
  <c r="BI43" i="11"/>
  <c r="BJ42" i="11"/>
  <c r="BL31" i="11"/>
  <c r="BL24" i="11"/>
  <c r="BQ23" i="11"/>
  <c r="BL17" i="11"/>
  <c r="BN17" i="11" s="1"/>
  <c r="BQ50" i="11"/>
  <c r="BG43" i="11"/>
  <c r="BI32" i="11"/>
  <c r="BL28" i="11"/>
  <c r="BJ24" i="11"/>
  <c r="BG41" i="11"/>
  <c r="BK58" i="11"/>
  <c r="BG51" i="11"/>
  <c r="BF50" i="11"/>
  <c r="BL40" i="11"/>
  <c r="BK38" i="11"/>
  <c r="BK33" i="11"/>
  <c r="BK31" i="11"/>
  <c r="BG28" i="11"/>
  <c r="BK27" i="11"/>
  <c r="BG26" i="11"/>
  <c r="BH26" i="11" s="1"/>
  <c r="BO26" i="11" s="1"/>
  <c r="BK18" i="11"/>
  <c r="BK14" i="11"/>
  <c r="BQ54" i="11"/>
  <c r="BJ58" i="11"/>
  <c r="BG56" i="11"/>
  <c r="BL56" i="11"/>
  <c r="BG54" i="11"/>
  <c r="BH54" i="11" s="1"/>
  <c r="BO54" i="11" s="1"/>
  <c r="BI49" i="11"/>
  <c r="BF46" i="11"/>
  <c r="BK45" i="11"/>
  <c r="BF44" i="11"/>
  <c r="BG42" i="11"/>
  <c r="BQ35" i="11"/>
  <c r="BJ35" i="11"/>
  <c r="BJ33" i="11"/>
  <c r="BQ31" i="11"/>
  <c r="BL29" i="11"/>
  <c r="BJ27" i="11"/>
  <c r="BI24" i="11"/>
  <c r="BK19" i="11"/>
  <c r="BJ18" i="11"/>
  <c r="BL16" i="11"/>
  <c r="BJ14" i="11"/>
  <c r="BJ13" i="11"/>
  <c r="BI20" i="11"/>
  <c r="BI15" i="11"/>
  <c r="BP15" i="11" s="1"/>
  <c r="BI58" i="11"/>
  <c r="BK55" i="11"/>
  <c r="BJ50" i="11"/>
  <c r="BQ43" i="11"/>
  <c r="BL39" i="11"/>
  <c r="BM39" i="11" s="1"/>
  <c r="BQ27" i="11"/>
  <c r="BG20" i="11"/>
  <c r="BJ57" i="11"/>
  <c r="BL54" i="11"/>
  <c r="BG40" i="11"/>
  <c r="BJ31" i="11"/>
  <c r="BG59" i="11"/>
  <c r="BG58" i="11"/>
  <c r="BL57" i="11"/>
  <c r="BM57" i="11" s="1"/>
  <c r="BG55" i="11"/>
  <c r="BG48" i="11"/>
  <c r="BH48" i="11" s="1"/>
  <c r="BO48" i="11" s="1"/>
  <c r="BI45" i="11"/>
  <c r="BQ39" i="11"/>
  <c r="BG37" i="11"/>
  <c r="BH37" i="11" s="1"/>
  <c r="BO37" i="11" s="1"/>
  <c r="BG34" i="11"/>
  <c r="BL33" i="11"/>
  <c r="BG32" i="11"/>
  <c r="BG31" i="11"/>
  <c r="BJ28" i="11"/>
  <c r="BG13" i="11"/>
  <c r="BL13" i="11"/>
  <c r="BJ59" i="11"/>
  <c r="BJ51" i="11"/>
  <c r="BJ23" i="11"/>
  <c r="BJ16" i="11"/>
  <c r="BI56" i="11"/>
  <c r="BQ56" i="11"/>
  <c r="BF47" i="11"/>
  <c r="BK47" i="11"/>
  <c r="BQ47" i="11"/>
  <c r="BI30" i="11"/>
  <c r="BQ30" i="11"/>
  <c r="BL30" i="11"/>
  <c r="BK28" i="11"/>
  <c r="BF28" i="11"/>
  <c r="BQ28" i="11"/>
  <c r="BF55" i="11"/>
  <c r="BQ51" i="11"/>
  <c r="BF51" i="11"/>
  <c r="BK51" i="11"/>
  <c r="BF49" i="11"/>
  <c r="BK49" i="11"/>
  <c r="BQ49" i="11"/>
  <c r="BI47" i="11"/>
  <c r="BG47" i="11"/>
  <c r="BL47" i="11"/>
  <c r="BJ45" i="11"/>
  <c r="BQ45" i="11"/>
  <c r="BK42" i="11"/>
  <c r="BF42" i="11"/>
  <c r="BQ42" i="11"/>
  <c r="BQ41" i="11"/>
  <c r="BL41" i="11"/>
  <c r="BM41" i="11" s="1"/>
  <c r="BI41" i="11"/>
  <c r="BP41" i="11" s="1"/>
  <c r="BI40" i="11"/>
  <c r="BQ40" i="11"/>
  <c r="BF40" i="11"/>
  <c r="BK40" i="11"/>
  <c r="BL38" i="11"/>
  <c r="BG38" i="11"/>
  <c r="BI38" i="11"/>
  <c r="BI28" i="11"/>
  <c r="BI14" i="11"/>
  <c r="BQ14" i="11"/>
  <c r="BL14" i="11"/>
  <c r="BG14" i="11"/>
  <c r="BH14" i="11" s="1"/>
  <c r="BO14" i="11" s="1"/>
  <c r="BF59" i="11"/>
  <c r="BQ58" i="11"/>
  <c r="BF58" i="11"/>
  <c r="BI57" i="11"/>
  <c r="BK56" i="11"/>
  <c r="BF56" i="11"/>
  <c r="BI52" i="11"/>
  <c r="BQ52" i="11"/>
  <c r="BF52" i="11"/>
  <c r="BG50" i="11"/>
  <c r="BL50" i="11"/>
  <c r="BN50" i="11" s="1"/>
  <c r="BJ49" i="11"/>
  <c r="BJ46" i="11"/>
  <c r="BL43" i="11"/>
  <c r="BG39" i="11"/>
  <c r="BH39" i="11" s="1"/>
  <c r="BO39" i="11" s="1"/>
  <c r="BI39" i="11"/>
  <c r="BJ38" i="11"/>
  <c r="BQ38" i="11"/>
  <c r="BF36" i="11"/>
  <c r="BQ36" i="11"/>
  <c r="BF25" i="11"/>
  <c r="BI25" i="11"/>
  <c r="BQ25" i="11"/>
  <c r="BG57" i="11"/>
  <c r="BH57" i="11" s="1"/>
  <c r="BO57" i="11" s="1"/>
  <c r="BQ55" i="11"/>
  <c r="BL55" i="11"/>
  <c r="BI54" i="11"/>
  <c r="BK54" i="11"/>
  <c r="BQ53" i="11"/>
  <c r="BK53" i="11"/>
  <c r="BL53" i="11"/>
  <c r="BQ46" i="11"/>
  <c r="BG46" i="11"/>
  <c r="BI46" i="11"/>
  <c r="BG44" i="11"/>
  <c r="BH44" i="11" s="1"/>
  <c r="BO44" i="11" s="1"/>
  <c r="BL44" i="11"/>
  <c r="BI42" i="11"/>
  <c r="BL37" i="11"/>
  <c r="BK36" i="11"/>
  <c r="BG36" i="11"/>
  <c r="BL36" i="11"/>
  <c r="BG30" i="11"/>
  <c r="BL27" i="11"/>
  <c r="BG27" i="11"/>
  <c r="BH27" i="11" s="1"/>
  <c r="BO27" i="11" s="1"/>
  <c r="BJ25" i="11"/>
  <c r="BG25" i="11"/>
  <c r="BQ19" i="11"/>
  <c r="BF19" i="11"/>
  <c r="BJ19" i="11"/>
  <c r="BK46" i="11"/>
  <c r="BL45" i="11"/>
  <c r="BI44" i="11"/>
  <c r="BQ44" i="11"/>
  <c r="BJ43" i="11"/>
  <c r="BI37" i="11"/>
  <c r="BQ37" i="11"/>
  <c r="BG35" i="11"/>
  <c r="BI35" i="11"/>
  <c r="BF34" i="11"/>
  <c r="BK34" i="11"/>
  <c r="BQ34" i="11"/>
  <c r="BF32" i="11"/>
  <c r="BK32" i="11"/>
  <c r="BI26" i="11"/>
  <c r="BP26" i="11" s="1"/>
  <c r="BQ26" i="11"/>
  <c r="BL26" i="11"/>
  <c r="BN26" i="11" s="1"/>
  <c r="BL23" i="11"/>
  <c r="BG23" i="11"/>
  <c r="BF21" i="11"/>
  <c r="BI21" i="11"/>
  <c r="BQ21" i="11"/>
  <c r="BK16" i="11"/>
  <c r="BF16" i="11"/>
  <c r="BF13" i="11"/>
  <c r="BI13" i="11"/>
  <c r="BQ13" i="11"/>
  <c r="BL49" i="11"/>
  <c r="BI48" i="11"/>
  <c r="BP48" i="11" s="1"/>
  <c r="BQ48" i="11"/>
  <c r="BJ47" i="11"/>
  <c r="BF43" i="11"/>
  <c r="BJ36" i="11"/>
  <c r="BL35" i="11"/>
  <c r="BJ34" i="11"/>
  <c r="BF29" i="11"/>
  <c r="BI29" i="11"/>
  <c r="BQ29" i="11"/>
  <c r="BK24" i="11"/>
  <c r="BF24" i="11"/>
  <c r="BI22" i="11"/>
  <c r="BQ22" i="11"/>
  <c r="BL22" i="11"/>
  <c r="BN22" i="11" s="1"/>
  <c r="BG22" i="11"/>
  <c r="BJ21" i="11"/>
  <c r="BL21" i="11"/>
  <c r="BJ20" i="11"/>
  <c r="BQ20" i="11"/>
  <c r="BL19" i="11"/>
  <c r="BG19" i="11"/>
  <c r="BI19" i="11"/>
  <c r="BG17" i="11"/>
  <c r="BI16" i="11"/>
  <c r="BK15" i="11"/>
  <c r="BK13" i="11"/>
  <c r="BK35" i="11"/>
  <c r="BL34" i="11"/>
  <c r="BI33" i="11"/>
  <c r="BQ33" i="11"/>
  <c r="BJ32" i="11"/>
  <c r="BK23" i="11"/>
  <c r="BK20" i="11"/>
  <c r="BF20" i="11"/>
  <c r="BI18" i="11"/>
  <c r="BQ18" i="11"/>
  <c r="BL18" i="11"/>
  <c r="BF17" i="11"/>
  <c r="BI17" i="11"/>
  <c r="BQ17" i="11"/>
  <c r="BL15" i="11"/>
  <c r="BG15" i="11"/>
  <c r="BH15" i="11" s="1"/>
  <c r="BO15" i="11" s="1"/>
  <c r="BJ12" i="11"/>
  <c r="BK12" i="11"/>
  <c r="BF12" i="11"/>
  <c r="BQ12" i="11"/>
  <c r="BG12" i="11"/>
  <c r="BL12" i="11"/>
  <c r="BI12" i="11"/>
  <c r="BR78" i="11" l="1"/>
  <c r="BV78" i="11" s="1"/>
  <c r="BW78" i="11" s="1"/>
  <c r="BR86" i="11"/>
  <c r="BV86" i="11" s="1"/>
  <c r="BW86" i="11" s="1"/>
  <c r="BR80" i="11"/>
  <c r="BV80" i="11" s="1"/>
  <c r="BW80" i="11" s="1"/>
  <c r="BR67" i="11"/>
  <c r="BV67" i="11" s="1"/>
  <c r="BW67" i="11" s="1"/>
  <c r="BR73" i="11"/>
  <c r="BV73" i="11" s="1"/>
  <c r="BW73" i="11" s="1"/>
  <c r="BR94" i="11"/>
  <c r="BV94" i="11" s="1"/>
  <c r="BW94" i="11" s="1"/>
  <c r="BR72" i="11"/>
  <c r="BV72" i="11" s="1"/>
  <c r="BW72" i="11" s="1"/>
  <c r="BR81" i="11"/>
  <c r="BV81" i="11" s="1"/>
  <c r="BW81" i="11" s="1"/>
  <c r="BR74" i="11"/>
  <c r="BV74" i="11" s="1"/>
  <c r="BW74" i="11" s="1"/>
  <c r="BR79" i="11"/>
  <c r="BV79" i="11" s="1"/>
  <c r="BW79" i="11" s="1"/>
  <c r="BR69" i="11"/>
  <c r="BV69" i="11" s="1"/>
  <c r="BW69" i="11" s="1"/>
  <c r="BR71" i="11"/>
  <c r="BV71" i="11" s="1"/>
  <c r="BW71" i="11" s="1"/>
  <c r="BR70" i="11"/>
  <c r="BV70" i="11" s="1"/>
  <c r="BW70" i="11" s="1"/>
  <c r="BP59" i="11"/>
  <c r="BP51" i="11"/>
  <c r="BM18" i="11"/>
  <c r="BH38" i="11"/>
  <c r="BO38" i="11" s="1"/>
  <c r="BH22" i="11"/>
  <c r="BO22" i="11" s="1"/>
  <c r="BH35" i="11"/>
  <c r="BO35" i="11" s="1"/>
  <c r="BN30" i="11"/>
  <c r="BP50" i="11"/>
  <c r="BH53" i="11"/>
  <c r="BO53" i="11" s="1"/>
  <c r="BP54" i="11"/>
  <c r="BP55" i="11"/>
  <c r="BP17" i="11"/>
  <c r="BP30" i="11"/>
  <c r="BP39" i="11"/>
  <c r="BM29" i="11"/>
  <c r="BP34" i="11"/>
  <c r="BH23" i="11"/>
  <c r="BO23" i="11" s="1"/>
  <c r="BP31" i="11"/>
  <c r="BP27" i="11"/>
  <c r="BH30" i="11"/>
  <c r="BO30" i="11" s="1"/>
  <c r="BN55" i="11"/>
  <c r="BM43" i="11"/>
  <c r="BM38" i="11"/>
  <c r="BH51" i="11"/>
  <c r="BO51" i="11" s="1"/>
  <c r="BH18" i="11"/>
  <c r="BO18" i="11" s="1"/>
  <c r="BH45" i="11"/>
  <c r="BO45" i="11" s="1"/>
  <c r="BH24" i="11"/>
  <c r="BO24" i="11" s="1"/>
  <c r="BM37" i="11"/>
  <c r="BN33" i="11"/>
  <c r="BH33" i="11"/>
  <c r="BO33" i="11" s="1"/>
  <c r="BP33" i="11"/>
  <c r="BM21" i="11"/>
  <c r="BP44" i="11"/>
  <c r="BN44" i="11"/>
  <c r="BP49" i="11"/>
  <c r="BP56" i="11"/>
  <c r="BH31" i="11"/>
  <c r="BO31" i="11" s="1"/>
  <c r="BN52" i="11"/>
  <c r="BP57" i="11"/>
  <c r="BH16" i="11"/>
  <c r="BO16" i="11" s="1"/>
  <c r="BN48" i="11"/>
  <c r="BH29" i="11"/>
  <c r="BO29" i="11" s="1"/>
  <c r="BM17" i="11"/>
  <c r="BR17" i="11" s="1"/>
  <c r="BP52" i="11"/>
  <c r="BH41" i="11"/>
  <c r="BO41" i="11" s="1"/>
  <c r="BM19" i="11"/>
  <c r="BP22" i="11"/>
  <c r="BP29" i="11"/>
  <c r="BP37" i="11"/>
  <c r="BH50" i="11"/>
  <c r="BO50" i="11" s="1"/>
  <c r="BP23" i="11"/>
  <c r="BN39" i="11"/>
  <c r="BM31" i="11"/>
  <c r="BM48" i="11"/>
  <c r="BN58" i="11"/>
  <c r="BP53" i="11"/>
  <c r="BN12" i="11"/>
  <c r="BH46" i="11"/>
  <c r="BO46" i="11" s="1"/>
  <c r="BN14" i="11"/>
  <c r="BQ61" i="11"/>
  <c r="R8" i="11" s="1"/>
  <c r="BP18" i="11"/>
  <c r="BP32" i="11"/>
  <c r="BH21" i="11"/>
  <c r="BO21" i="11" s="1"/>
  <c r="BP43" i="11"/>
  <c r="BM59" i="11"/>
  <c r="BR59" i="11" s="1"/>
  <c r="BH52" i="11"/>
  <c r="BO52" i="11" s="1"/>
  <c r="BP40" i="11"/>
  <c r="BN25" i="11"/>
  <c r="BP45" i="11"/>
  <c r="BP13" i="11"/>
  <c r="BH42" i="11"/>
  <c r="BO42" i="11" s="1"/>
  <c r="BP58" i="11"/>
  <c r="BH13" i="11"/>
  <c r="BO13" i="11" s="1"/>
  <c r="BH43" i="11"/>
  <c r="BO43" i="11" s="1"/>
  <c r="BN41" i="11"/>
  <c r="BR41" i="11" s="1"/>
  <c r="BH59" i="11"/>
  <c r="BO59" i="11" s="1"/>
  <c r="BP14" i="11"/>
  <c r="BH49" i="11"/>
  <c r="BO49" i="11" s="1"/>
  <c r="BM58" i="11"/>
  <c r="BR58" i="11" s="1"/>
  <c r="BM27" i="11"/>
  <c r="BP36" i="11"/>
  <c r="BN57" i="11"/>
  <c r="BR57" i="11" s="1"/>
  <c r="BN43" i="11"/>
  <c r="BM52" i="11"/>
  <c r="BH32" i="11"/>
  <c r="BO32" i="11" s="1"/>
  <c r="BH56" i="11"/>
  <c r="BO56" i="11" s="1"/>
  <c r="BH58" i="11"/>
  <c r="BO58" i="11" s="1"/>
  <c r="BN31" i="11"/>
  <c r="BP21" i="11"/>
  <c r="BM33" i="11"/>
  <c r="BN29" i="11"/>
  <c r="BR29" i="11" s="1"/>
  <c r="BH28" i="11"/>
  <c r="BO28" i="11" s="1"/>
  <c r="BP24" i="11"/>
  <c r="BN38" i="11"/>
  <c r="BM14" i="11"/>
  <c r="BR14" i="11" s="1"/>
  <c r="BH20" i="11"/>
  <c r="BO20" i="11" s="1"/>
  <c r="BP20" i="11"/>
  <c r="BH34" i="11"/>
  <c r="BO34" i="11" s="1"/>
  <c r="BP42" i="11"/>
  <c r="BN27" i="11"/>
  <c r="BR27" i="11" s="1"/>
  <c r="BN19" i="11"/>
  <c r="BM44" i="11"/>
  <c r="BR44" i="11" s="1"/>
  <c r="BP35" i="11"/>
  <c r="BH55" i="11"/>
  <c r="BO55" i="11" s="1"/>
  <c r="BM26" i="11"/>
  <c r="BR26" i="11" s="1"/>
  <c r="I26" i="11" s="1"/>
  <c r="BP28" i="11"/>
  <c r="BH19" i="11"/>
  <c r="BO19" i="11" s="1"/>
  <c r="BH25" i="11"/>
  <c r="BO25" i="11" s="1"/>
  <c r="BH40" i="11"/>
  <c r="BO40" i="11" s="1"/>
  <c r="BM30" i="11"/>
  <c r="BP16" i="11"/>
  <c r="BN21" i="11"/>
  <c r="BR21" i="11" s="1"/>
  <c r="BM50" i="11"/>
  <c r="BR50" i="11" s="1"/>
  <c r="BN35" i="11"/>
  <c r="BM35" i="11"/>
  <c r="BM56" i="11"/>
  <c r="BN56" i="11"/>
  <c r="BM49" i="11"/>
  <c r="BN49" i="11"/>
  <c r="BN28" i="11"/>
  <c r="BM28" i="11"/>
  <c r="BN20" i="11"/>
  <c r="BM20" i="11"/>
  <c r="BP19" i="11"/>
  <c r="BN18" i="11"/>
  <c r="BM34" i="11"/>
  <c r="BN34" i="11"/>
  <c r="BM46" i="11"/>
  <c r="BN46" i="11"/>
  <c r="BM22" i="11"/>
  <c r="BR22" i="11" s="1"/>
  <c r="BP38" i="11"/>
  <c r="BM40" i="11"/>
  <c r="BN40" i="11"/>
  <c r="BN23" i="11"/>
  <c r="BM23" i="11"/>
  <c r="BN15" i="11"/>
  <c r="BM15" i="11"/>
  <c r="BN24" i="11"/>
  <c r="BM24" i="11"/>
  <c r="BR39" i="11"/>
  <c r="BH36" i="11"/>
  <c r="BO36" i="11" s="1"/>
  <c r="BM55" i="11"/>
  <c r="BP47" i="11"/>
  <c r="BR25" i="11"/>
  <c r="BN37" i="11"/>
  <c r="BN47" i="11"/>
  <c r="BM47" i="11"/>
  <c r="BN16" i="11"/>
  <c r="BM16" i="11"/>
  <c r="BP25" i="11"/>
  <c r="BH17" i="11"/>
  <c r="BO17" i="11" s="1"/>
  <c r="BN13" i="11"/>
  <c r="BM13" i="11"/>
  <c r="BP46" i="11"/>
  <c r="BN54" i="11"/>
  <c r="BM54" i="11"/>
  <c r="BN32" i="11"/>
  <c r="BM32" i="11"/>
  <c r="BM45" i="11"/>
  <c r="BN45" i="11"/>
  <c r="BN36" i="11"/>
  <c r="BM36" i="11"/>
  <c r="BM53" i="11"/>
  <c r="BN53" i="11"/>
  <c r="BM42" i="11"/>
  <c r="BN42" i="11"/>
  <c r="BN51" i="11"/>
  <c r="BM51" i="11"/>
  <c r="BH47" i="11"/>
  <c r="BO47" i="11" s="1"/>
  <c r="BP12" i="11"/>
  <c r="BH12" i="11"/>
  <c r="BO12" i="11" s="1"/>
  <c r="BM12" i="11"/>
  <c r="BR37" i="11" l="1"/>
  <c r="I37" i="11" s="1"/>
  <c r="BR18" i="11"/>
  <c r="I18" i="11" s="1"/>
  <c r="BR30" i="11"/>
  <c r="I30" i="11" s="1"/>
  <c r="I39" i="11"/>
  <c r="BR55" i="11"/>
  <c r="I55" i="11" s="1"/>
  <c r="I44" i="11"/>
  <c r="BR33" i="11"/>
  <c r="I33" i="11" s="1"/>
  <c r="BR52" i="11"/>
  <c r="I52" i="11" s="1"/>
  <c r="I29" i="11"/>
  <c r="BR43" i="11"/>
  <c r="I43" i="11" s="1"/>
  <c r="I27" i="11"/>
  <c r="I50" i="11"/>
  <c r="I59" i="11"/>
  <c r="BR38" i="11"/>
  <c r="I38" i="11" s="1"/>
  <c r="I57" i="11"/>
  <c r="BR48" i="11"/>
  <c r="I48" i="11" s="1"/>
  <c r="BR31" i="11"/>
  <c r="I31" i="11" s="1"/>
  <c r="BR12" i="11"/>
  <c r="I12" i="11" s="1"/>
  <c r="I14" i="11"/>
  <c r="I41" i="11"/>
  <c r="BO61" i="11"/>
  <c r="M8" i="11" s="1"/>
  <c r="BR20" i="11"/>
  <c r="I20" i="11" s="1"/>
  <c r="BR19" i="11"/>
  <c r="I19" i="11" s="1"/>
  <c r="BP61" i="11"/>
  <c r="F8" i="11" s="1"/>
  <c r="I22" i="11"/>
  <c r="I58" i="11"/>
  <c r="BR24" i="11"/>
  <c r="I24" i="11" s="1"/>
  <c r="BR23" i="11"/>
  <c r="I23" i="11" s="1"/>
  <c r="I21" i="11"/>
  <c r="BR40" i="11"/>
  <c r="I40" i="11" s="1"/>
  <c r="I17" i="11"/>
  <c r="BR36" i="11"/>
  <c r="I36" i="11" s="1"/>
  <c r="BR32" i="11"/>
  <c r="I32" i="11" s="1"/>
  <c r="I25" i="11"/>
  <c r="BR16" i="11"/>
  <c r="I16" i="11" s="1"/>
  <c r="BR15" i="11"/>
  <c r="I15" i="11" s="1"/>
  <c r="BR49" i="11"/>
  <c r="I49" i="11" s="1"/>
  <c r="BR35" i="11"/>
  <c r="I35" i="11" s="1"/>
  <c r="BR54" i="11"/>
  <c r="I54" i="11" s="1"/>
  <c r="BR28" i="11"/>
  <c r="I28" i="11" s="1"/>
  <c r="BR51" i="11"/>
  <c r="I51" i="11" s="1"/>
  <c r="BR13" i="11"/>
  <c r="I13" i="11" s="1"/>
  <c r="BR47" i="11"/>
  <c r="I47" i="11" s="1"/>
  <c r="BR46" i="11"/>
  <c r="I46" i="11" s="1"/>
  <c r="BR53" i="11"/>
  <c r="I53" i="11" s="1"/>
  <c r="BR45" i="11"/>
  <c r="I45" i="11" s="1"/>
  <c r="BR34" i="11"/>
  <c r="I34" i="11" s="1"/>
  <c r="BR42" i="11"/>
  <c r="I42" i="11" s="1"/>
  <c r="BR56" i="11"/>
  <c r="I56" i="11" s="1"/>
  <c r="BR61" i="11" l="1"/>
  <c r="I8" i="11" s="1"/>
  <c r="U63" i="11" l="1"/>
  <c r="T63" i="11"/>
  <c r="U59" i="11"/>
  <c r="W59" i="11" s="1"/>
  <c r="T59" i="11"/>
  <c r="U58" i="11"/>
  <c r="W58" i="11" s="1"/>
  <c r="T58" i="11"/>
  <c r="U57" i="11"/>
  <c r="W57" i="11" s="1"/>
  <c r="T57" i="11"/>
  <c r="U56" i="11"/>
  <c r="T56" i="11"/>
  <c r="D56" i="11" s="1"/>
  <c r="U55" i="11"/>
  <c r="W55" i="11" s="1"/>
  <c r="Y55" i="11" s="1"/>
  <c r="T55" i="11"/>
  <c r="U54" i="11"/>
  <c r="T54" i="11"/>
  <c r="D54" i="11" s="1"/>
  <c r="U53" i="11"/>
  <c r="W53" i="11" s="1"/>
  <c r="T53" i="11"/>
  <c r="D53" i="11" s="1"/>
  <c r="U52" i="11"/>
  <c r="W52" i="11" s="1"/>
  <c r="X52" i="11" s="1"/>
  <c r="T52" i="11"/>
  <c r="D52" i="11" s="1"/>
  <c r="U51" i="11"/>
  <c r="W51" i="11" s="1"/>
  <c r="T51" i="11"/>
  <c r="U50" i="11"/>
  <c r="W50" i="11" s="1"/>
  <c r="T50" i="11"/>
  <c r="D50" i="11" s="1"/>
  <c r="U49" i="11"/>
  <c r="W49" i="11" s="1"/>
  <c r="Y49" i="11" s="1"/>
  <c r="T49" i="11"/>
  <c r="U48" i="11"/>
  <c r="V48" i="11" s="1"/>
  <c r="T48" i="11"/>
  <c r="D48" i="11" s="1"/>
  <c r="U47" i="11"/>
  <c r="T47" i="11"/>
  <c r="D47" i="11" s="1"/>
  <c r="U46" i="11"/>
  <c r="T46" i="11"/>
  <c r="D46" i="11" s="1"/>
  <c r="U45" i="11"/>
  <c r="V45" i="11" s="1"/>
  <c r="T45" i="11"/>
  <c r="D45" i="11" s="1"/>
  <c r="U44" i="11"/>
  <c r="T44" i="11"/>
  <c r="D44" i="11" s="1"/>
  <c r="U43" i="11"/>
  <c r="T43" i="11"/>
  <c r="D43" i="11" s="1"/>
  <c r="U42" i="11"/>
  <c r="W42" i="11" s="1"/>
  <c r="X42" i="11" s="1"/>
  <c r="T42" i="11"/>
  <c r="D42" i="11" s="1"/>
  <c r="U41" i="11"/>
  <c r="V41" i="11" s="1"/>
  <c r="T41" i="11"/>
  <c r="U40" i="11"/>
  <c r="W40" i="11" s="1"/>
  <c r="X40" i="11" s="1"/>
  <c r="T40" i="11"/>
  <c r="D40" i="11" s="1"/>
  <c r="U39" i="11"/>
  <c r="V39" i="11" s="1"/>
  <c r="T39" i="11"/>
  <c r="D39" i="11" s="1"/>
  <c r="U38" i="11"/>
  <c r="V38" i="11" s="1"/>
  <c r="T38" i="11"/>
  <c r="D38" i="11" s="1"/>
  <c r="U37" i="11"/>
  <c r="T37" i="11"/>
  <c r="D37" i="11" s="1"/>
  <c r="U36" i="11"/>
  <c r="T36" i="11"/>
  <c r="D36" i="11" s="1"/>
  <c r="U35" i="11"/>
  <c r="V35" i="11" s="1"/>
  <c r="T35" i="11"/>
  <c r="D35" i="11" s="1"/>
  <c r="U34" i="11"/>
  <c r="T34" i="11"/>
  <c r="D34" i="11" s="1"/>
  <c r="U33" i="11"/>
  <c r="V33" i="11" s="1"/>
  <c r="T33" i="11"/>
  <c r="D33" i="11" s="1"/>
  <c r="U32" i="11"/>
  <c r="V32" i="11" s="1"/>
  <c r="T32" i="11"/>
  <c r="U31" i="11"/>
  <c r="V31" i="11" s="1"/>
  <c r="T31" i="11"/>
  <c r="D31" i="11" s="1"/>
  <c r="U30" i="11"/>
  <c r="V30" i="11" s="1"/>
  <c r="T30" i="11"/>
  <c r="U29" i="11"/>
  <c r="W29" i="11" s="1"/>
  <c r="Y29" i="11" s="1"/>
  <c r="T29" i="11"/>
  <c r="U28" i="11"/>
  <c r="W28" i="11" s="1"/>
  <c r="T28" i="11"/>
  <c r="U27" i="11"/>
  <c r="T27" i="11"/>
  <c r="D27" i="11" s="1"/>
  <c r="U26" i="11"/>
  <c r="T26" i="11"/>
  <c r="D26" i="11" s="1"/>
  <c r="U25" i="11"/>
  <c r="W25" i="11" s="1"/>
  <c r="T25" i="11"/>
  <c r="D25" i="11" s="1"/>
  <c r="U24" i="11"/>
  <c r="V24" i="11" s="1"/>
  <c r="T24" i="11"/>
  <c r="D24" i="11" s="1"/>
  <c r="U23" i="11"/>
  <c r="V23" i="11" s="1"/>
  <c r="T23" i="11"/>
  <c r="D23" i="11" s="1"/>
  <c r="U22" i="11"/>
  <c r="W22" i="11" s="1"/>
  <c r="X22" i="11" s="1"/>
  <c r="T22" i="11"/>
  <c r="D22" i="11" s="1"/>
  <c r="U21" i="11"/>
  <c r="W21" i="11" s="1"/>
  <c r="T21" i="11"/>
  <c r="D21" i="11" s="1"/>
  <c r="U20" i="11"/>
  <c r="W20" i="11" s="1"/>
  <c r="T20" i="11"/>
  <c r="D20" i="11" s="1"/>
  <c r="U19" i="11"/>
  <c r="W19" i="11" s="1"/>
  <c r="Y19" i="11" s="1"/>
  <c r="T19" i="11"/>
  <c r="D19" i="11" s="1"/>
  <c r="U18" i="11"/>
  <c r="V18" i="11" s="1"/>
  <c r="T18" i="11"/>
  <c r="D18" i="11" s="1"/>
  <c r="U17" i="11"/>
  <c r="T17" i="11"/>
  <c r="D17" i="11" s="1"/>
  <c r="U16" i="11"/>
  <c r="W16" i="11" s="1"/>
  <c r="X16" i="11" s="1"/>
  <c r="T16" i="11"/>
  <c r="D16" i="11" s="1"/>
  <c r="U15" i="11"/>
  <c r="T15" i="11"/>
  <c r="D15" i="11" s="1"/>
  <c r="U14" i="11"/>
  <c r="W14" i="11" s="1"/>
  <c r="T14" i="11"/>
  <c r="D14" i="11" s="1"/>
  <c r="U13" i="11"/>
  <c r="V13" i="11" s="1"/>
  <c r="T13" i="11"/>
  <c r="D13" i="11" s="1"/>
  <c r="T12" i="11"/>
  <c r="D12" i="11" s="1"/>
  <c r="C67" i="11" l="1"/>
  <c r="B67" i="11"/>
  <c r="D67" i="11"/>
  <c r="V52" i="11"/>
  <c r="V46" i="11"/>
  <c r="Y52" i="11"/>
  <c r="V55" i="11"/>
  <c r="W48" i="11"/>
  <c r="X48" i="11" s="1"/>
  <c r="W41" i="11"/>
  <c r="Y41" i="11" s="1"/>
  <c r="X29" i="11"/>
  <c r="W39" i="11"/>
  <c r="Y39" i="11" s="1"/>
  <c r="V40" i="11"/>
  <c r="V14" i="11"/>
  <c r="V16" i="11"/>
  <c r="W23" i="11"/>
  <c r="X23" i="11" s="1"/>
  <c r="W38" i="11"/>
  <c r="Y38" i="11" s="1"/>
  <c r="V49" i="11"/>
  <c r="V57" i="11"/>
  <c r="W18" i="11"/>
  <c r="X18" i="11" s="1"/>
  <c r="Y22" i="11"/>
  <c r="X49" i="11"/>
  <c r="Y21" i="11"/>
  <c r="X21" i="11"/>
  <c r="Y28" i="11"/>
  <c r="X28" i="11"/>
  <c r="Y59" i="11"/>
  <c r="X59" i="11"/>
  <c r="Y51" i="11"/>
  <c r="X51" i="11"/>
  <c r="V19" i="11"/>
  <c r="W24" i="11"/>
  <c r="V25" i="11"/>
  <c r="W31" i="11"/>
  <c r="V53" i="11"/>
  <c r="X19" i="11"/>
  <c r="V21" i="11"/>
  <c r="V28" i="11"/>
  <c r="W32" i="11"/>
  <c r="W35" i="11"/>
  <c r="Y35" i="11" s="1"/>
  <c r="V50" i="11"/>
  <c r="V51" i="11"/>
  <c r="X55" i="11"/>
  <c r="V59" i="11"/>
  <c r="V27" i="11"/>
  <c r="V42" i="11"/>
  <c r="V20" i="11"/>
  <c r="V29" i="11"/>
  <c r="W33" i="11"/>
  <c r="X33" i="11" s="1"/>
  <c r="W45" i="11"/>
  <c r="V58" i="11"/>
  <c r="V17" i="11"/>
  <c r="W17" i="11"/>
  <c r="Y16" i="11"/>
  <c r="X20" i="11"/>
  <c r="Y20" i="11"/>
  <c r="Y14" i="11"/>
  <c r="X14" i="11"/>
  <c r="V15" i="11"/>
  <c r="W15" i="11"/>
  <c r="Y25" i="11"/>
  <c r="X25" i="11"/>
  <c r="D41" i="11"/>
  <c r="V22" i="11"/>
  <c r="D32" i="11"/>
  <c r="V34" i="11"/>
  <c r="W34" i="11"/>
  <c r="V36" i="11"/>
  <c r="W36" i="11"/>
  <c r="V47" i="11"/>
  <c r="V26" i="11"/>
  <c r="W26" i="11"/>
  <c r="D28" i="11"/>
  <c r="W43" i="11"/>
  <c r="V43" i="11"/>
  <c r="W44" i="11"/>
  <c r="V44" i="11"/>
  <c r="D49" i="11"/>
  <c r="D30" i="11"/>
  <c r="D29" i="11"/>
  <c r="W37" i="11"/>
  <c r="V37" i="11"/>
  <c r="D51" i="11"/>
  <c r="V54" i="11"/>
  <c r="W54" i="11"/>
  <c r="Y58" i="11"/>
  <c r="X58" i="11"/>
  <c r="Y40" i="11"/>
  <c r="Y42" i="11"/>
  <c r="Y50" i="11"/>
  <c r="X50" i="11"/>
  <c r="X53" i="11"/>
  <c r="Y53" i="11"/>
  <c r="D55" i="11"/>
  <c r="D58" i="11"/>
  <c r="Y57" i="11"/>
  <c r="X57" i="11"/>
  <c r="V56" i="11"/>
  <c r="W56" i="11"/>
  <c r="D57" i="11"/>
  <c r="D59" i="11"/>
  <c r="Y18" i="11" l="1"/>
  <c r="Y33" i="11"/>
  <c r="Y23" i="11"/>
  <c r="Y48" i="11"/>
  <c r="X35" i="11"/>
  <c r="X39" i="11"/>
  <c r="X38" i="11"/>
  <c r="X41" i="11"/>
  <c r="Y45" i="11"/>
  <c r="X45" i="11"/>
  <c r="X31" i="11"/>
  <c r="Y31" i="11"/>
  <c r="Y32" i="11"/>
  <c r="X32" i="11"/>
  <c r="Y24" i="11"/>
  <c r="X24" i="11"/>
  <c r="X44" i="11"/>
  <c r="Y44" i="11"/>
  <c r="Y37" i="11"/>
  <c r="X37" i="11"/>
  <c r="X34" i="11"/>
  <c r="Y34" i="11"/>
  <c r="Y17" i="11"/>
  <c r="X17" i="11"/>
  <c r="X56" i="11"/>
  <c r="Y56" i="11"/>
  <c r="X54" i="11"/>
  <c r="Y54" i="11"/>
  <c r="X43" i="11"/>
  <c r="Y43" i="11"/>
  <c r="X36" i="11"/>
  <c r="Y36" i="11"/>
  <c r="X26" i="11"/>
  <c r="Y26" i="11"/>
  <c r="Y15" i="11"/>
  <c r="X15" i="11"/>
  <c r="G14" i="9"/>
  <c r="U44" i="8" l="1"/>
  <c r="U42" i="8"/>
  <c r="U31" i="8"/>
  <c r="U43" i="8"/>
  <c r="U32" i="8"/>
  <c r="U20" i="8"/>
  <c r="U19" i="8"/>
  <c r="U18" i="8"/>
  <c r="U78" i="8"/>
  <c r="U76" i="8"/>
  <c r="U92" i="8"/>
  <c r="U79" i="8"/>
  <c r="U77" i="8"/>
  <c r="U83" i="8"/>
  <c r="U88" i="8"/>
  <c r="U84" i="8"/>
  <c r="G13" i="9"/>
  <c r="G46" i="9"/>
  <c r="AB57" i="11" l="1"/>
  <c r="P55" i="11"/>
  <c r="L55" i="11"/>
  <c r="C53" i="11"/>
  <c r="AB58" i="11"/>
  <c r="C56" i="11"/>
  <c r="AB55" i="11"/>
  <c r="R55" i="11"/>
  <c r="N55" i="11"/>
  <c r="V63" i="11"/>
  <c r="E78" i="11" s="1"/>
  <c r="C59" i="11"/>
  <c r="C57" i="11"/>
  <c r="AB56" i="11"/>
  <c r="B56" i="11"/>
  <c r="Q55" i="11"/>
  <c r="M55" i="11"/>
  <c r="C52" i="11"/>
  <c r="AB52" i="11"/>
  <c r="C50" i="11"/>
  <c r="AB49" i="11"/>
  <c r="R49" i="11"/>
  <c r="N49" i="11"/>
  <c r="C46" i="11"/>
  <c r="P49" i="11"/>
  <c r="B48" i="11"/>
  <c r="AB45" i="11"/>
  <c r="C44" i="11"/>
  <c r="AB43" i="11"/>
  <c r="R43" i="11"/>
  <c r="N43" i="11"/>
  <c r="O55" i="11"/>
  <c r="AB51" i="11"/>
  <c r="O49" i="11"/>
  <c r="C45" i="11"/>
  <c r="AB44" i="11"/>
  <c r="Q43" i="11"/>
  <c r="M43" i="11"/>
  <c r="AB40" i="11"/>
  <c r="C38" i="11"/>
  <c r="AB37" i="11"/>
  <c r="R37" i="11"/>
  <c r="N37" i="11"/>
  <c r="C34" i="11"/>
  <c r="L49" i="11"/>
  <c r="AB38" i="11"/>
  <c r="B38" i="11"/>
  <c r="M37" i="11"/>
  <c r="AB34" i="11"/>
  <c r="B34" i="11"/>
  <c r="O31" i="11"/>
  <c r="C31" i="11"/>
  <c r="AB27" i="11"/>
  <c r="P25" i="11"/>
  <c r="L25" i="11"/>
  <c r="C23" i="11"/>
  <c r="B50" i="11"/>
  <c r="Q49" i="11"/>
  <c r="C48" i="11"/>
  <c r="B45" i="11"/>
  <c r="O43" i="11"/>
  <c r="AB39" i="11"/>
  <c r="B39" i="11"/>
  <c r="P37" i="11"/>
  <c r="B36" i="11"/>
  <c r="C33" i="11"/>
  <c r="AB32" i="11"/>
  <c r="Q31" i="11"/>
  <c r="M31" i="11"/>
  <c r="AB28" i="11"/>
  <c r="AB50" i="11"/>
  <c r="L37" i="11"/>
  <c r="AB33" i="11"/>
  <c r="P31" i="11"/>
  <c r="O25" i="11"/>
  <c r="C22" i="11"/>
  <c r="B53" i="11"/>
  <c r="B46" i="11"/>
  <c r="P43" i="11"/>
  <c r="N31" i="11"/>
  <c r="B31" i="11"/>
  <c r="N25" i="11"/>
  <c r="C24" i="11"/>
  <c r="AB22" i="11"/>
  <c r="C20" i="11"/>
  <c r="AB19" i="11"/>
  <c r="R19" i="11"/>
  <c r="N19" i="11"/>
  <c r="C16" i="11"/>
  <c r="C39" i="11"/>
  <c r="L31" i="11"/>
  <c r="C29" i="11"/>
  <c r="Q25" i="11"/>
  <c r="B25" i="11"/>
  <c r="AB21" i="11"/>
  <c r="O19" i="11"/>
  <c r="AB14" i="11"/>
  <c r="O13" i="11"/>
  <c r="C13" i="11"/>
  <c r="B42" i="11"/>
  <c r="C37" i="11"/>
  <c r="C36" i="11"/>
  <c r="B33" i="11"/>
  <c r="B30" i="11"/>
  <c r="M25" i="11"/>
  <c r="M49" i="11"/>
  <c r="AB46" i="11"/>
  <c r="Q37" i="11"/>
  <c r="AB31" i="11"/>
  <c r="AB25" i="11"/>
  <c r="Q19" i="11"/>
  <c r="L19" i="11"/>
  <c r="C18" i="11"/>
  <c r="B15" i="11"/>
  <c r="AB13" i="11"/>
  <c r="Q13" i="11"/>
  <c r="M13" i="11"/>
  <c r="A10" i="11"/>
  <c r="L43" i="11"/>
  <c r="O37" i="11"/>
  <c r="R31" i="11"/>
  <c r="AB26" i="11"/>
  <c r="R25" i="11"/>
  <c r="C25" i="11"/>
  <c r="B23" i="11"/>
  <c r="P19" i="11"/>
  <c r="B18" i="11"/>
  <c r="AB20" i="11"/>
  <c r="M19" i="11"/>
  <c r="C14" i="11"/>
  <c r="R13" i="11"/>
  <c r="AB16" i="11"/>
  <c r="C17" i="11"/>
  <c r="AB15" i="11"/>
  <c r="N13" i="11"/>
  <c r="B13" i="11"/>
  <c r="B12" i="11"/>
  <c r="B20" i="11"/>
  <c r="B16" i="11"/>
  <c r="C15" i="11"/>
  <c r="L13" i="11"/>
  <c r="P13" i="11"/>
  <c r="C19" i="11"/>
  <c r="C21" i="11"/>
  <c r="C26" i="11"/>
  <c r="C32" i="11"/>
  <c r="B14" i="11"/>
  <c r="C43" i="11"/>
  <c r="C47" i="11"/>
  <c r="B37" i="11"/>
  <c r="B44" i="11"/>
  <c r="C55" i="11"/>
  <c r="B58" i="11"/>
  <c r="C42" i="11"/>
  <c r="B32" i="11"/>
  <c r="C12" i="11"/>
  <c r="B17" i="11"/>
  <c r="B27" i="11"/>
  <c r="B41" i="11"/>
  <c r="B26" i="11"/>
  <c r="B28" i="11"/>
  <c r="B49" i="11"/>
  <c r="B22" i="11"/>
  <c r="B40" i="11"/>
  <c r="C35" i="11"/>
  <c r="B47" i="11"/>
  <c r="C54" i="11"/>
  <c r="B21" i="11"/>
  <c r="C41" i="11"/>
  <c r="C28" i="11"/>
  <c r="C49" i="11"/>
  <c r="C27" i="11"/>
  <c r="B24" i="11"/>
  <c r="C40" i="11"/>
  <c r="C51" i="11"/>
  <c r="C58" i="11"/>
  <c r="B52" i="11"/>
  <c r="B19" i="11"/>
  <c r="B35" i="11"/>
  <c r="C30" i="11"/>
  <c r="B29" i="11"/>
  <c r="B51" i="11"/>
  <c r="B43" i="11"/>
  <c r="B57" i="11"/>
  <c r="B59" i="11"/>
  <c r="B55" i="11"/>
  <c r="B54" i="11"/>
  <c r="B46" i="9"/>
  <c r="B42" i="9"/>
  <c r="B38" i="9"/>
  <c r="B34" i="9"/>
  <c r="B30" i="9"/>
  <c r="B26" i="9"/>
  <c r="B22" i="9"/>
  <c r="B18" i="9"/>
  <c r="B45" i="9"/>
  <c r="B41" i="9"/>
  <c r="B37" i="9"/>
  <c r="B33" i="9"/>
  <c r="B29" i="9"/>
  <c r="B25" i="9"/>
  <c r="B21" i="9"/>
  <c r="B17" i="9"/>
  <c r="B39" i="9"/>
  <c r="B31" i="9"/>
  <c r="B23" i="9"/>
  <c r="B15" i="9"/>
  <c r="B44" i="9"/>
  <c r="B40" i="9"/>
  <c r="B36" i="9"/>
  <c r="B32" i="9"/>
  <c r="B28" i="9"/>
  <c r="B24" i="9"/>
  <c r="B20" i="9"/>
  <c r="B16" i="9"/>
  <c r="B43" i="9"/>
  <c r="B35" i="9"/>
  <c r="B27" i="9"/>
  <c r="B19" i="9"/>
  <c r="I79" i="8"/>
  <c r="I80" i="8"/>
  <c r="M26" i="8"/>
  <c r="I50" i="8"/>
  <c r="I49" i="8"/>
  <c r="I46" i="8"/>
  <c r="I45" i="8"/>
  <c r="I43" i="8"/>
  <c r="I41" i="8"/>
  <c r="I31" i="8"/>
  <c r="I29" i="8"/>
  <c r="I25" i="8"/>
  <c r="I95" i="8"/>
  <c r="I87" i="8"/>
  <c r="I81" i="8"/>
  <c r="I74" i="8"/>
  <c r="I71" i="8"/>
  <c r="I68" i="8"/>
  <c r="I59" i="8"/>
  <c r="I57" i="8"/>
  <c r="I55" i="8"/>
  <c r="I53" i="8"/>
  <c r="I38" i="8"/>
  <c r="I36" i="8"/>
  <c r="I34" i="8"/>
  <c r="I32" i="8"/>
  <c r="I26" i="8"/>
  <c r="I22" i="8"/>
  <c r="I20" i="8"/>
  <c r="I18" i="8"/>
  <c r="I15" i="8"/>
  <c r="I14" i="8"/>
  <c r="I52" i="8"/>
  <c r="I51" i="8"/>
  <c r="I48" i="8"/>
  <c r="I47" i="8"/>
  <c r="I44" i="8"/>
  <c r="I42" i="8"/>
  <c r="I40" i="8"/>
  <c r="I30" i="8"/>
  <c r="I28" i="8"/>
  <c r="I24" i="8"/>
  <c r="I91" i="8"/>
  <c r="I82" i="8"/>
  <c r="I75" i="8"/>
  <c r="I73" i="8"/>
  <c r="I69" i="8"/>
  <c r="I60" i="8"/>
  <c r="I58" i="8"/>
  <c r="I56" i="8"/>
  <c r="I54" i="8"/>
  <c r="I39" i="8"/>
  <c r="I37" i="8"/>
  <c r="I35" i="8"/>
  <c r="I33" i="8"/>
  <c r="I27" i="8"/>
  <c r="I23" i="8"/>
  <c r="I21" i="8"/>
  <c r="I19" i="8"/>
  <c r="I17" i="8"/>
  <c r="I16" i="8"/>
  <c r="I13" i="8"/>
  <c r="Q38" i="8"/>
  <c r="S44" i="8"/>
  <c r="P38" i="8"/>
  <c r="U72" i="8"/>
  <c r="D75" i="8" s="1"/>
  <c r="U70" i="8"/>
  <c r="U68" i="8"/>
  <c r="D71" i="8" s="1"/>
  <c r="U65" i="8"/>
  <c r="U60" i="8"/>
  <c r="U58" i="8"/>
  <c r="U56" i="8"/>
  <c r="U54" i="8"/>
  <c r="U52" i="8"/>
  <c r="U50" i="8"/>
  <c r="U48" i="8"/>
  <c r="U46" i="8"/>
  <c r="U41" i="8"/>
  <c r="U39" i="8"/>
  <c r="D39" i="8" s="1"/>
  <c r="U37" i="8"/>
  <c r="U35" i="8"/>
  <c r="U33" i="8"/>
  <c r="U29" i="8"/>
  <c r="B29" i="8" s="1"/>
  <c r="U27" i="8"/>
  <c r="U25" i="8"/>
  <c r="U23" i="8"/>
  <c r="U21" i="8"/>
  <c r="U71" i="8"/>
  <c r="D74" i="8" s="1"/>
  <c r="U69" i="8"/>
  <c r="U66" i="8"/>
  <c r="U64" i="8"/>
  <c r="C68" i="8" s="1"/>
  <c r="U59" i="8"/>
  <c r="C59" i="8" s="1"/>
  <c r="U57" i="8"/>
  <c r="U55" i="8"/>
  <c r="U53" i="8"/>
  <c r="U51" i="8"/>
  <c r="U49" i="8"/>
  <c r="U47" i="8"/>
  <c r="D47" i="8" s="1"/>
  <c r="U45" i="8"/>
  <c r="D45" i="8" s="1"/>
  <c r="U40" i="8"/>
  <c r="D40" i="8" s="1"/>
  <c r="U38" i="8"/>
  <c r="C38" i="8" s="1"/>
  <c r="U36" i="8"/>
  <c r="U34" i="8"/>
  <c r="U30" i="8"/>
  <c r="U28" i="8"/>
  <c r="U26" i="8"/>
  <c r="U24" i="8"/>
  <c r="U22" i="8"/>
  <c r="B38" i="8"/>
  <c r="D32" i="8"/>
  <c r="B39" i="8"/>
  <c r="C95" i="8"/>
  <c r="B95" i="8"/>
  <c r="D95" i="8"/>
  <c r="D79" i="8"/>
  <c r="C20" i="8"/>
  <c r="U16" i="8"/>
  <c r="U14" i="8"/>
  <c r="C14" i="8" s="1"/>
  <c r="U17" i="8"/>
  <c r="U15" i="8"/>
  <c r="D43" i="8"/>
  <c r="U13" i="8"/>
  <c r="D13" i="8" s="1"/>
  <c r="C42" i="8"/>
  <c r="Q32" i="8"/>
  <c r="P14" i="8"/>
  <c r="B31" i="8"/>
  <c r="M32" i="8"/>
  <c r="R32" i="8"/>
  <c r="N38" i="8"/>
  <c r="S50" i="8"/>
  <c r="A77" i="8"/>
  <c r="AC15" i="8"/>
  <c r="H13" i="8" s="1"/>
  <c r="AC56" i="8"/>
  <c r="H59" i="8" s="1"/>
  <c r="AC45" i="8"/>
  <c r="E54" i="8" s="1"/>
  <c r="V54" i="8" s="1"/>
  <c r="AC33" i="8"/>
  <c r="E50" i="8" s="1"/>
  <c r="AC58" i="8"/>
  <c r="H60" i="8" s="1"/>
  <c r="AC46" i="8"/>
  <c r="AC39" i="8"/>
  <c r="E56" i="8" s="1"/>
  <c r="V56" i="8" s="1"/>
  <c r="AC26" i="8"/>
  <c r="E17" i="8" s="1"/>
  <c r="V17" i="8" s="1"/>
  <c r="A89" i="8"/>
  <c r="I72" i="8"/>
  <c r="N26" i="8"/>
  <c r="S38" i="8"/>
  <c r="R14" i="8"/>
  <c r="O50" i="8"/>
  <c r="M20" i="8"/>
  <c r="AC59" i="8"/>
  <c r="AC53" i="8"/>
  <c r="AC51" i="8"/>
  <c r="AC47" i="8"/>
  <c r="AC41" i="8"/>
  <c r="H22" i="8" s="1"/>
  <c r="AC38" i="8"/>
  <c r="AC34" i="8"/>
  <c r="E20" i="8" s="1"/>
  <c r="V20" i="8" s="1"/>
  <c r="AC29" i="8"/>
  <c r="AC27" i="8"/>
  <c r="H17" i="8" s="1"/>
  <c r="AC22" i="8"/>
  <c r="H46" i="8" s="1"/>
  <c r="AC20" i="8"/>
  <c r="E15" i="8" s="1"/>
  <c r="V15" i="8" s="1"/>
  <c r="AC57" i="8"/>
  <c r="AC52" i="8"/>
  <c r="H58" i="8" s="1"/>
  <c r="AC50" i="8"/>
  <c r="H57" i="8" s="1"/>
  <c r="AC44" i="8"/>
  <c r="E39" i="8" s="1"/>
  <c r="AC40" i="8"/>
  <c r="H56" i="8" s="1"/>
  <c r="AC35" i="8"/>
  <c r="E49" i="8" s="1"/>
  <c r="AC32" i="8"/>
  <c r="AC28" i="8"/>
  <c r="E18" i="8" s="1"/>
  <c r="AC23" i="8"/>
  <c r="AC21" i="8"/>
  <c r="I70" i="8"/>
  <c r="N44" i="8"/>
  <c r="P20" i="8"/>
  <c r="M50" i="8"/>
  <c r="O14" i="8"/>
  <c r="Q44" i="8"/>
  <c r="N50" i="8"/>
  <c r="M14" i="8"/>
  <c r="N32" i="8"/>
  <c r="P56" i="8"/>
  <c r="Q20" i="8"/>
  <c r="N56" i="8"/>
  <c r="R44" i="8"/>
  <c r="S20" i="8"/>
  <c r="P44" i="8"/>
  <c r="I86" i="8"/>
  <c r="R56" i="8"/>
  <c r="M56" i="8"/>
  <c r="A84" i="8"/>
  <c r="R20" i="8"/>
  <c r="O56" i="8"/>
  <c r="Q14" i="8"/>
  <c r="M38" i="8"/>
  <c r="O32" i="8"/>
  <c r="R50" i="8"/>
  <c r="Q26" i="8"/>
  <c r="O38" i="8"/>
  <c r="P26" i="8"/>
  <c r="Q56" i="8"/>
  <c r="A65" i="8"/>
  <c r="A97" i="8"/>
  <c r="S14" i="8"/>
  <c r="S32" i="8"/>
  <c r="M44" i="8"/>
  <c r="P32" i="8"/>
  <c r="N20" i="8"/>
  <c r="N14" i="8"/>
  <c r="R26" i="8"/>
  <c r="A11" i="8"/>
  <c r="S26" i="8"/>
  <c r="A93" i="8"/>
  <c r="O44" i="8"/>
  <c r="S56" i="8"/>
  <c r="R38" i="8"/>
  <c r="P50" i="8"/>
  <c r="Q50" i="8"/>
  <c r="O26" i="8"/>
  <c r="O20" i="8"/>
  <c r="AC16" i="8"/>
  <c r="AC17" i="8"/>
  <c r="AC14" i="8"/>
  <c r="V50" i="8"/>
  <c r="V39" i="8"/>
  <c r="E46" i="11" l="1"/>
  <c r="E30" i="11"/>
  <c r="H13" i="11"/>
  <c r="AM16" i="11"/>
  <c r="E45" i="11"/>
  <c r="H29" i="11"/>
  <c r="AM20" i="11"/>
  <c r="H14" i="11"/>
  <c r="E51" i="11"/>
  <c r="AM26" i="11"/>
  <c r="H34" i="11"/>
  <c r="H16" i="11"/>
  <c r="E27" i="11"/>
  <c r="AM13" i="11"/>
  <c r="E12" i="11"/>
  <c r="U12" i="11" s="1"/>
  <c r="H46" i="11"/>
  <c r="H50" i="11"/>
  <c r="E32" i="11"/>
  <c r="AM25" i="11"/>
  <c r="E16" i="11"/>
  <c r="E44" i="11"/>
  <c r="AM22" i="11"/>
  <c r="E29" i="11"/>
  <c r="H15" i="11"/>
  <c r="H49" i="11"/>
  <c r="AM33" i="11"/>
  <c r="H33" i="11"/>
  <c r="E19" i="11"/>
  <c r="H48" i="11"/>
  <c r="E33" i="11"/>
  <c r="AM31" i="11"/>
  <c r="E18" i="11"/>
  <c r="AM21" i="11"/>
  <c r="E15" i="11"/>
  <c r="H45" i="11"/>
  <c r="H31" i="11"/>
  <c r="H44" i="11"/>
  <c r="E31" i="11"/>
  <c r="E14" i="11"/>
  <c r="AM19" i="11"/>
  <c r="E57" i="11"/>
  <c r="AM50" i="11"/>
  <c r="H42" i="11"/>
  <c r="H23" i="11"/>
  <c r="H51" i="11"/>
  <c r="H32" i="11"/>
  <c r="AM27" i="11"/>
  <c r="E17" i="11"/>
  <c r="E55" i="11"/>
  <c r="H37" i="11"/>
  <c r="AM38" i="11"/>
  <c r="H20" i="11"/>
  <c r="E54" i="11"/>
  <c r="E37" i="11"/>
  <c r="H21" i="11"/>
  <c r="AM40" i="11"/>
  <c r="E53" i="11"/>
  <c r="H40" i="11"/>
  <c r="AM44" i="11"/>
  <c r="H22" i="11"/>
  <c r="H53" i="11"/>
  <c r="AM45" i="11"/>
  <c r="H38" i="11"/>
  <c r="E24" i="11"/>
  <c r="E56" i="11"/>
  <c r="AM52" i="11"/>
  <c r="E42" i="11"/>
  <c r="H25" i="11"/>
  <c r="AM58" i="11"/>
  <c r="E58" i="11"/>
  <c r="E41" i="11"/>
  <c r="H28" i="11"/>
  <c r="H59" i="11"/>
  <c r="AM57" i="11"/>
  <c r="H43" i="11"/>
  <c r="E28" i="11"/>
  <c r="H27" i="11"/>
  <c r="H47" i="11"/>
  <c r="AM15" i="11"/>
  <c r="E13" i="11"/>
  <c r="E47" i="11"/>
  <c r="H30" i="11"/>
  <c r="AM14" i="11"/>
  <c r="H12" i="11"/>
  <c r="E50" i="11"/>
  <c r="E34" i="11"/>
  <c r="AM28" i="11"/>
  <c r="H17" i="11"/>
  <c r="E49" i="11"/>
  <c r="H35" i="11"/>
  <c r="AM32" i="11"/>
  <c r="H18" i="11"/>
  <c r="H55" i="11"/>
  <c r="AM39" i="11"/>
  <c r="H36" i="11"/>
  <c r="E21" i="11"/>
  <c r="E48" i="11"/>
  <c r="E35" i="11"/>
  <c r="AM34" i="11"/>
  <c r="H19" i="11"/>
  <c r="H54" i="11"/>
  <c r="AM37" i="11"/>
  <c r="E36" i="11"/>
  <c r="E20" i="11"/>
  <c r="H57" i="11"/>
  <c r="AM51" i="11"/>
  <c r="H39" i="11"/>
  <c r="E25" i="11"/>
  <c r="H52" i="11"/>
  <c r="AM43" i="11"/>
  <c r="E38" i="11"/>
  <c r="E22" i="11"/>
  <c r="H56" i="11"/>
  <c r="AM49" i="11"/>
  <c r="E39" i="11"/>
  <c r="E23" i="11"/>
  <c r="H58" i="11"/>
  <c r="AM55" i="11"/>
  <c r="E43" i="11"/>
  <c r="E26" i="11"/>
  <c r="H24" i="11"/>
  <c r="E40" i="11"/>
  <c r="E52" i="11"/>
  <c r="AM46" i="11"/>
  <c r="AM56" i="11"/>
  <c r="H41" i="11"/>
  <c r="E59" i="11"/>
  <c r="H26" i="11"/>
  <c r="E58" i="8"/>
  <c r="V58" i="8" s="1"/>
  <c r="W58" i="8" s="1"/>
  <c r="H24" i="8"/>
  <c r="B75" i="8"/>
  <c r="H20" i="8"/>
  <c r="H53" i="8"/>
  <c r="C74" i="8"/>
  <c r="C39" i="8"/>
  <c r="B74" i="8"/>
  <c r="D68" i="8"/>
  <c r="H36" i="8"/>
  <c r="E36" i="8"/>
  <c r="V36" i="8" s="1"/>
  <c r="W36" i="8" s="1"/>
  <c r="AN26" i="8"/>
  <c r="AN46" i="8"/>
  <c r="AN53" i="8"/>
  <c r="AN40" i="8"/>
  <c r="E23" i="8"/>
  <c r="V23" i="8" s="1"/>
  <c r="W23" i="8" s="1"/>
  <c r="H19" i="8"/>
  <c r="AN29" i="8"/>
  <c r="AN47" i="8"/>
  <c r="AN41" i="8"/>
  <c r="AN59" i="8"/>
  <c r="H21" i="8"/>
  <c r="E22" i="8"/>
  <c r="V22" i="8" s="1"/>
  <c r="W22" i="8" s="1"/>
  <c r="AN50" i="8"/>
  <c r="H18" i="8"/>
  <c r="AN27" i="8"/>
  <c r="AN34" i="8"/>
  <c r="AN21" i="8"/>
  <c r="AN16" i="8"/>
  <c r="AN35" i="8"/>
  <c r="H37" i="8"/>
  <c r="AN14" i="8"/>
  <c r="E28" i="8"/>
  <c r="V28" i="8" s="1"/>
  <c r="H47" i="8"/>
  <c r="H30" i="8"/>
  <c r="E46" i="8"/>
  <c r="V46" i="8" s="1"/>
  <c r="W46" i="8" s="1"/>
  <c r="H33" i="8"/>
  <c r="H52" i="8"/>
  <c r="E26" i="8"/>
  <c r="V26" i="8" s="1"/>
  <c r="H40" i="8"/>
  <c r="E32" i="8"/>
  <c r="V32" i="8" s="1"/>
  <c r="H45" i="8"/>
  <c r="H35" i="8"/>
  <c r="E52" i="8"/>
  <c r="V52" i="8" s="1"/>
  <c r="W52" i="8" s="1"/>
  <c r="H50" i="8"/>
  <c r="H34" i="8"/>
  <c r="E38" i="8"/>
  <c r="V38" i="8" s="1"/>
  <c r="E55" i="8"/>
  <c r="V55" i="8" s="1"/>
  <c r="H43" i="8"/>
  <c r="E42" i="8"/>
  <c r="V42" i="8" s="1"/>
  <c r="H29" i="8"/>
  <c r="H51" i="8"/>
  <c r="E33" i="8"/>
  <c r="V33" i="8" s="1"/>
  <c r="E25" i="8"/>
  <c r="V25" i="8" s="1"/>
  <c r="H39" i="8"/>
  <c r="E27" i="8"/>
  <c r="V27" i="8" s="1"/>
  <c r="E44" i="8"/>
  <c r="V44" i="8" s="1"/>
  <c r="W50" i="8"/>
  <c r="E47" i="8"/>
  <c r="V47" i="8" s="1"/>
  <c r="E31" i="8"/>
  <c r="H28" i="8"/>
  <c r="H48" i="8"/>
  <c r="E45" i="8"/>
  <c r="V45" i="8" s="1"/>
  <c r="W45" i="8" s="1"/>
  <c r="E30" i="8"/>
  <c r="V30" i="8" s="1"/>
  <c r="W30" i="8" s="1"/>
  <c r="H49" i="8"/>
  <c r="E34" i="8"/>
  <c r="V34" i="8" s="1"/>
  <c r="E24" i="8"/>
  <c r="E40" i="8"/>
  <c r="V40" i="8" s="1"/>
  <c r="H42" i="8"/>
  <c r="H27" i="8"/>
  <c r="E51" i="8"/>
  <c r="V51" i="8" s="1"/>
  <c r="E35" i="8"/>
  <c r="V35" i="8" s="1"/>
  <c r="W35" i="8" s="1"/>
  <c r="E37" i="8"/>
  <c r="V37" i="8" s="1"/>
  <c r="H55" i="8"/>
  <c r="E41" i="8"/>
  <c r="V41" i="8" s="1"/>
  <c r="H25" i="8"/>
  <c r="E43" i="8"/>
  <c r="V43" i="8" s="1"/>
  <c r="H26" i="8"/>
  <c r="H44" i="8"/>
  <c r="E29" i="8"/>
  <c r="H23" i="8"/>
  <c r="H41" i="8"/>
  <c r="E48" i="8"/>
  <c r="V48" i="8" s="1"/>
  <c r="H31" i="8"/>
  <c r="C45" i="8"/>
  <c r="C75" i="8"/>
  <c r="D38" i="8"/>
  <c r="C32" i="8"/>
  <c r="B32" i="8"/>
  <c r="C29" i="8"/>
  <c r="D29" i="8"/>
  <c r="D86" i="8"/>
  <c r="C86" i="8"/>
  <c r="B86" i="8"/>
  <c r="B71" i="8"/>
  <c r="C71" i="8"/>
  <c r="B57" i="8"/>
  <c r="C57" i="8"/>
  <c r="D57" i="8"/>
  <c r="B47" i="8"/>
  <c r="C47" i="8"/>
  <c r="C79" i="8"/>
  <c r="B79" i="8"/>
  <c r="B91" i="8"/>
  <c r="C91" i="8"/>
  <c r="D91" i="8"/>
  <c r="C60" i="8"/>
  <c r="D60" i="8"/>
  <c r="B60" i="8"/>
  <c r="C73" i="8"/>
  <c r="D73" i="8"/>
  <c r="B73" i="8"/>
  <c r="C43" i="8"/>
  <c r="B43" i="8"/>
  <c r="D36" i="8"/>
  <c r="B36" i="8"/>
  <c r="C36" i="8"/>
  <c r="D27" i="8"/>
  <c r="C27" i="8"/>
  <c r="B27" i="8"/>
  <c r="C51" i="8"/>
  <c r="D51" i="8"/>
  <c r="B51" i="8"/>
  <c r="B54" i="8"/>
  <c r="D54" i="8"/>
  <c r="C54" i="8"/>
  <c r="C49" i="8"/>
  <c r="D49" i="8"/>
  <c r="B49" i="8"/>
  <c r="C70" i="8"/>
  <c r="D70" i="8"/>
  <c r="B70" i="8"/>
  <c r="D25" i="8"/>
  <c r="B25" i="8"/>
  <c r="C25" i="8"/>
  <c r="B16" i="8"/>
  <c r="C16" i="8"/>
  <c r="D16" i="8"/>
  <c r="B13" i="8"/>
  <c r="C13" i="8"/>
  <c r="B45" i="8"/>
  <c r="B28" i="8"/>
  <c r="D28" i="8"/>
  <c r="C28" i="8"/>
  <c r="C23" i="8"/>
  <c r="D23" i="8"/>
  <c r="B23" i="8"/>
  <c r="C50" i="8"/>
  <c r="D50" i="8"/>
  <c r="B50" i="8"/>
  <c r="B18" i="8"/>
  <c r="C18" i="8"/>
  <c r="D18" i="8"/>
  <c r="D82" i="8"/>
  <c r="C82" i="8"/>
  <c r="B82" i="8"/>
  <c r="C46" i="8"/>
  <c r="B46" i="8"/>
  <c r="D46" i="8"/>
  <c r="B80" i="8"/>
  <c r="C80" i="8"/>
  <c r="D80" i="8"/>
  <c r="B68" i="8"/>
  <c r="C40" i="8"/>
  <c r="B40" i="8"/>
  <c r="D53" i="8"/>
  <c r="C53" i="8"/>
  <c r="B53" i="8"/>
  <c r="D44" i="8"/>
  <c r="B44" i="8"/>
  <c r="C44" i="8"/>
  <c r="B87" i="8"/>
  <c r="D87" i="8"/>
  <c r="C87" i="8"/>
  <c r="B69" i="8"/>
  <c r="D69" i="8"/>
  <c r="C69" i="8"/>
  <c r="D56" i="8"/>
  <c r="C56" i="8"/>
  <c r="B56" i="8"/>
  <c r="B30" i="8"/>
  <c r="C30" i="8"/>
  <c r="D30" i="8"/>
  <c r="B48" i="8"/>
  <c r="D48" i="8"/>
  <c r="C48" i="8"/>
  <c r="B17" i="8"/>
  <c r="D17" i="8"/>
  <c r="C17" i="8"/>
  <c r="B24" i="8"/>
  <c r="C24" i="8"/>
  <c r="D24" i="8"/>
  <c r="C33" i="8"/>
  <c r="D33" i="8"/>
  <c r="B33" i="8"/>
  <c r="D21" i="8"/>
  <c r="B21" i="8"/>
  <c r="C21" i="8"/>
  <c r="C26" i="8"/>
  <c r="D26" i="8"/>
  <c r="B26" i="8"/>
  <c r="B22" i="8"/>
  <c r="D22" i="8"/>
  <c r="C22" i="8"/>
  <c r="C81" i="8"/>
  <c r="B81" i="8"/>
  <c r="D81" i="8"/>
  <c r="B59" i="8"/>
  <c r="D59" i="8"/>
  <c r="D42" i="8"/>
  <c r="B42" i="8"/>
  <c r="D14" i="8"/>
  <c r="B14" i="8"/>
  <c r="C55" i="8"/>
  <c r="B55" i="8"/>
  <c r="D55" i="8"/>
  <c r="B35" i="8"/>
  <c r="C35" i="8"/>
  <c r="D35" i="8"/>
  <c r="C37" i="8"/>
  <c r="D37" i="8"/>
  <c r="B37" i="8"/>
  <c r="C52" i="8"/>
  <c r="D52" i="8"/>
  <c r="B52" i="8"/>
  <c r="D34" i="8"/>
  <c r="B34" i="8"/>
  <c r="C34" i="8"/>
  <c r="C72" i="8"/>
  <c r="B72" i="8"/>
  <c r="D72" i="8"/>
  <c r="C58" i="8"/>
  <c r="D58" i="8"/>
  <c r="B58" i="8"/>
  <c r="C41" i="8"/>
  <c r="D41" i="8"/>
  <c r="B41" i="8"/>
  <c r="B19" i="8"/>
  <c r="C19" i="8"/>
  <c r="D19" i="8"/>
  <c r="D15" i="8"/>
  <c r="B15" i="8"/>
  <c r="C15" i="8"/>
  <c r="B20" i="8"/>
  <c r="D20" i="8"/>
  <c r="C31" i="8"/>
  <c r="D31" i="8"/>
  <c r="E60" i="8"/>
  <c r="V60" i="8" s="1"/>
  <c r="W60" i="8" s="1"/>
  <c r="W56" i="8"/>
  <c r="E13" i="8"/>
  <c r="V13" i="8" s="1"/>
  <c r="W13" i="8" s="1"/>
  <c r="E21" i="8"/>
  <c r="V21" i="8" s="1"/>
  <c r="W21" i="8" s="1"/>
  <c r="H54" i="8"/>
  <c r="W54" i="8" s="1"/>
  <c r="V24" i="8"/>
  <c r="W24" i="8" s="1"/>
  <c r="AN15" i="8"/>
  <c r="H32" i="8"/>
  <c r="E16" i="8"/>
  <c r="V16" i="8" s="1"/>
  <c r="H38" i="8"/>
  <c r="E19" i="8"/>
  <c r="V19" i="8" s="1"/>
  <c r="E53" i="8"/>
  <c r="V53" i="8" s="1"/>
  <c r="W53" i="8" s="1"/>
  <c r="AN44" i="8"/>
  <c r="V31" i="8"/>
  <c r="AN58" i="8"/>
  <c r="AN57" i="8"/>
  <c r="AN45" i="8"/>
  <c r="AN28" i="8"/>
  <c r="AN38" i="8"/>
  <c r="AN39" i="8"/>
  <c r="AN23" i="8"/>
  <c r="W17" i="8"/>
  <c r="AN56" i="8"/>
  <c r="AN20" i="8"/>
  <c r="AN51" i="8"/>
  <c r="H16" i="8"/>
  <c r="AN32" i="8"/>
  <c r="H15" i="8"/>
  <c r="W15" i="8" s="1"/>
  <c r="V49" i="8"/>
  <c r="W49" i="8" s="1"/>
  <c r="E57" i="8"/>
  <c r="V57" i="8" s="1"/>
  <c r="W57" i="8" s="1"/>
  <c r="E59" i="8"/>
  <c r="V59" i="8" s="1"/>
  <c r="W59" i="8" s="1"/>
  <c r="H14" i="8"/>
  <c r="E14" i="8"/>
  <c r="V14" i="8" s="1"/>
  <c r="AN17" i="8"/>
  <c r="V29" i="8"/>
  <c r="W29" i="8" s="1"/>
  <c r="AN22" i="8"/>
  <c r="AN52" i="8"/>
  <c r="AN33" i="8"/>
  <c r="W20" i="8"/>
  <c r="W39" i="8"/>
  <c r="V18" i="8"/>
  <c r="W18" i="8" s="1"/>
  <c r="V12" i="11" l="1"/>
  <c r="AD26" i="11" s="1"/>
  <c r="AG49" i="11"/>
  <c r="AF49" i="11"/>
  <c r="AF21" i="11"/>
  <c r="AG13" i="11"/>
  <c r="AG20" i="11"/>
  <c r="AF34" i="11"/>
  <c r="AF58" i="11"/>
  <c r="AF52" i="11"/>
  <c r="AF44" i="11"/>
  <c r="AF19" i="11"/>
  <c r="AG56" i="11"/>
  <c r="AF46" i="11"/>
  <c r="AG51" i="11"/>
  <c r="AF51" i="11"/>
  <c r="AF37" i="11"/>
  <c r="AG28" i="11"/>
  <c r="AG45" i="11"/>
  <c r="AF38" i="11"/>
  <c r="AG21" i="11"/>
  <c r="AF31" i="11"/>
  <c r="AG22" i="11"/>
  <c r="AF25" i="11"/>
  <c r="AG46" i="11"/>
  <c r="AG43" i="11"/>
  <c r="AG34" i="11"/>
  <c r="AG39" i="11"/>
  <c r="AF28" i="11"/>
  <c r="AG57" i="11"/>
  <c r="AF57" i="11"/>
  <c r="AG44" i="11"/>
  <c r="AF40" i="11"/>
  <c r="AG27" i="11"/>
  <c r="AF50" i="11"/>
  <c r="AG19" i="11"/>
  <c r="AG31" i="11"/>
  <c r="AF26" i="11"/>
  <c r="AG16" i="11"/>
  <c r="AG32" i="11"/>
  <c r="AG14" i="11"/>
  <c r="AG15" i="11"/>
  <c r="AG40" i="11"/>
  <c r="AG38" i="11"/>
  <c r="AG50" i="11"/>
  <c r="AG26" i="11"/>
  <c r="AF20" i="11"/>
  <c r="AF56" i="11"/>
  <c r="AG55" i="11"/>
  <c r="AF55" i="11"/>
  <c r="AF43" i="11"/>
  <c r="AG37" i="11"/>
  <c r="AF39" i="11"/>
  <c r="AF32" i="11"/>
  <c r="AF14" i="11"/>
  <c r="AF15" i="11"/>
  <c r="AG58" i="11"/>
  <c r="AG52" i="11"/>
  <c r="AF45" i="11"/>
  <c r="AF27" i="11"/>
  <c r="AF33" i="11"/>
  <c r="AG33" i="11"/>
  <c r="AF22" i="11"/>
  <c r="AG25" i="11"/>
  <c r="AF13" i="11"/>
  <c r="AF16" i="11"/>
  <c r="W19" i="8"/>
  <c r="W48" i="8"/>
  <c r="W37" i="8"/>
  <c r="W51" i="8"/>
  <c r="W33" i="8"/>
  <c r="W34" i="8"/>
  <c r="W55" i="8"/>
  <c r="W40" i="8"/>
  <c r="W31" i="8"/>
  <c r="W27" i="8"/>
  <c r="AG53" i="8"/>
  <c r="AH14" i="8"/>
  <c r="AH21" i="8"/>
  <c r="AG46" i="8"/>
  <c r="W16" i="8"/>
  <c r="W38" i="8"/>
  <c r="W32" i="8"/>
  <c r="W43" i="8"/>
  <c r="W14" i="8"/>
  <c r="W41" i="8"/>
  <c r="W25" i="8"/>
  <c r="W44" i="8"/>
  <c r="W28" i="8"/>
  <c r="W42" i="8"/>
  <c r="W26" i="8"/>
  <c r="AH45" i="8"/>
  <c r="AG21" i="8"/>
  <c r="AH56" i="8"/>
  <c r="AH59" i="8"/>
  <c r="AG27" i="8"/>
  <c r="AG14" i="8"/>
  <c r="AG52" i="8"/>
  <c r="AG20" i="8"/>
  <c r="AH26" i="8"/>
  <c r="AH33" i="8"/>
  <c r="AH22" i="8"/>
  <c r="AH58" i="8"/>
  <c r="AH16" i="8"/>
  <c r="AH34" i="8"/>
  <c r="AG34" i="8"/>
  <c r="AG17" i="8"/>
  <c r="AG59" i="8"/>
  <c r="AH38" i="8"/>
  <c r="AG15" i="8"/>
  <c r="AH29" i="8"/>
  <c r="AG16" i="8"/>
  <c r="AH35" i="8"/>
  <c r="AH17" i="8"/>
  <c r="AH52" i="8"/>
  <c r="AH27" i="8"/>
  <c r="AG33" i="8"/>
  <c r="AJ33" i="8" s="1"/>
  <c r="AG58" i="8"/>
  <c r="AH46" i="8"/>
  <c r="AG23" i="8"/>
  <c r="AH20" i="8"/>
  <c r="AG47" i="8"/>
  <c r="AG22" i="8"/>
  <c r="AH51" i="8"/>
  <c r="AG56" i="8"/>
  <c r="AG57" i="8"/>
  <c r="AG26" i="8"/>
  <c r="AH57" i="8"/>
  <c r="AG50" i="8"/>
  <c r="AH15" i="8"/>
  <c r="AH23" i="8"/>
  <c r="AG51" i="8"/>
  <c r="AJ51" i="8" s="1"/>
  <c r="AH50" i="8"/>
  <c r="AG39" i="8"/>
  <c r="AG29" i="8"/>
  <c r="AH41" i="8"/>
  <c r="AG45" i="8"/>
  <c r="AH39" i="8"/>
  <c r="AH40" i="8"/>
  <c r="AG40" i="8"/>
  <c r="AH32" i="8"/>
  <c r="AH36" i="8" s="1"/>
  <c r="AG35" i="8"/>
  <c r="AG38" i="8"/>
  <c r="AH47" i="8"/>
  <c r="AG32" i="8"/>
  <c r="W47" i="8"/>
  <c r="AG41" i="8"/>
  <c r="AH28" i="8"/>
  <c r="AG44" i="8"/>
  <c r="AG28" i="8"/>
  <c r="AH53" i="8"/>
  <c r="AH44" i="8"/>
  <c r="AJ32" i="8" l="1"/>
  <c r="AJ27" i="8"/>
  <c r="AC20" i="11"/>
  <c r="AI49" i="11"/>
  <c r="AD25" i="11"/>
  <c r="AC33" i="11"/>
  <c r="AE31" i="11"/>
  <c r="AE21" i="11"/>
  <c r="AD19" i="11"/>
  <c r="AE19" i="11"/>
  <c r="AC38" i="11"/>
  <c r="AD38" i="11"/>
  <c r="AD40" i="11"/>
  <c r="AD45" i="11"/>
  <c r="AE58" i="11"/>
  <c r="AC15" i="11"/>
  <c r="AC14" i="11"/>
  <c r="AC32" i="11"/>
  <c r="AD51" i="11"/>
  <c r="AE49" i="11"/>
  <c r="AD56" i="11"/>
  <c r="AC16" i="11"/>
  <c r="AD20" i="11"/>
  <c r="AK20" i="11" s="1"/>
  <c r="AH20" i="11" s="1"/>
  <c r="AC26" i="11"/>
  <c r="AK26" i="11" s="1"/>
  <c r="AH26" i="11" s="1"/>
  <c r="AC13" i="11"/>
  <c r="AE25" i="11"/>
  <c r="AE22" i="11"/>
  <c r="AD31" i="11"/>
  <c r="AD21" i="11"/>
  <c r="AC21" i="11"/>
  <c r="AD50" i="11"/>
  <c r="AE50" i="11"/>
  <c r="AE27" i="11"/>
  <c r="AE40" i="11"/>
  <c r="AE44" i="11"/>
  <c r="AC52" i="11"/>
  <c r="AD14" i="11"/>
  <c r="AC28" i="11"/>
  <c r="AE32" i="11"/>
  <c r="AD39" i="11"/>
  <c r="AC39" i="11"/>
  <c r="AC34" i="11"/>
  <c r="AD34" i="11"/>
  <c r="AC37" i="11"/>
  <c r="AC51" i="11"/>
  <c r="AD43" i="11"/>
  <c r="AC49" i="11"/>
  <c r="AE55" i="11"/>
  <c r="AC46" i="11"/>
  <c r="AE56" i="11"/>
  <c r="AD16" i="11"/>
  <c r="AE20" i="11"/>
  <c r="AE13" i="11"/>
  <c r="AD13" i="11"/>
  <c r="AC22" i="11"/>
  <c r="AC31" i="11"/>
  <c r="AD27" i="11"/>
  <c r="AC44" i="11"/>
  <c r="AD44" i="11"/>
  <c r="AE45" i="11"/>
  <c r="AD52" i="11"/>
  <c r="AD58" i="11"/>
  <c r="AD57" i="11"/>
  <c r="AE57" i="11"/>
  <c r="AD15" i="11"/>
  <c r="AE39" i="11"/>
  <c r="AD37" i="11"/>
  <c r="AD49" i="11"/>
  <c r="AC55" i="11"/>
  <c r="AC56" i="11"/>
  <c r="AE26" i="11"/>
  <c r="AD22" i="11"/>
  <c r="AD33" i="11"/>
  <c r="AC50" i="11"/>
  <c r="AE38" i="11"/>
  <c r="AE52" i="11"/>
  <c r="AC58" i="11"/>
  <c r="AE15" i="11"/>
  <c r="AE14" i="11"/>
  <c r="AE34" i="11"/>
  <c r="AC43" i="11"/>
  <c r="AE28" i="11"/>
  <c r="AE43" i="11"/>
  <c r="AD55" i="11"/>
  <c r="AE46" i="11"/>
  <c r="AE16" i="11"/>
  <c r="AC25" i="11"/>
  <c r="AE33" i="11"/>
  <c r="AC19" i="11"/>
  <c r="AC27" i="11"/>
  <c r="AC40" i="11"/>
  <c r="AC45" i="11"/>
  <c r="AC57" i="11"/>
  <c r="AD28" i="11"/>
  <c r="AD32" i="11"/>
  <c r="AE37" i="11"/>
  <c r="AE51" i="11"/>
  <c r="AD46" i="11"/>
  <c r="AJ29" i="8"/>
  <c r="AG53" i="11"/>
  <c r="AG29" i="11"/>
  <c r="AI21" i="11"/>
  <c r="AG17" i="11"/>
  <c r="AG23" i="11"/>
  <c r="AI27" i="11"/>
  <c r="AF47" i="11"/>
  <c r="AI43" i="11"/>
  <c r="AG59" i="11"/>
  <c r="AF35" i="11"/>
  <c r="AI31" i="11"/>
  <c r="AI38" i="11"/>
  <c r="AI44" i="11"/>
  <c r="AI22" i="11"/>
  <c r="AH14" i="11"/>
  <c r="AI14" i="11"/>
  <c r="AI50" i="11"/>
  <c r="AF29" i="11"/>
  <c r="AI25" i="11"/>
  <c r="AF41" i="11"/>
  <c r="AI37" i="11"/>
  <c r="AI52" i="11"/>
  <c r="AI34" i="11"/>
  <c r="AF53" i="11"/>
  <c r="AI16" i="11"/>
  <c r="AH16" i="11"/>
  <c r="AH13" i="11"/>
  <c r="AF17" i="11"/>
  <c r="AI13" i="11"/>
  <c r="AI15" i="11"/>
  <c r="AH15" i="11"/>
  <c r="AI56" i="11"/>
  <c r="AI26" i="11"/>
  <c r="AI51" i="11"/>
  <c r="AF23" i="11"/>
  <c r="AI19" i="11"/>
  <c r="AI58" i="11"/>
  <c r="AI39" i="11"/>
  <c r="AI20" i="11"/>
  <c r="AI46" i="11"/>
  <c r="AI45" i="11"/>
  <c r="AI33" i="11"/>
  <c r="AI32" i="11"/>
  <c r="AG41" i="11"/>
  <c r="AF59" i="11"/>
  <c r="AI55" i="11"/>
  <c r="AG35" i="11"/>
  <c r="AI40" i="11"/>
  <c r="AI57" i="11"/>
  <c r="AI28" i="11"/>
  <c r="AG47" i="11"/>
  <c r="AJ53" i="8"/>
  <c r="AJ38" i="8"/>
  <c r="AI16" i="8"/>
  <c r="AJ47" i="8"/>
  <c r="AJ21" i="8"/>
  <c r="AF41" i="8"/>
  <c r="AH18" i="8"/>
  <c r="AE35" i="8"/>
  <c r="AJ28" i="8"/>
  <c r="AD26" i="8"/>
  <c r="AF50" i="8"/>
  <c r="AF20" i="8"/>
  <c r="AD50" i="8"/>
  <c r="AE33" i="8"/>
  <c r="AJ41" i="8"/>
  <c r="AD57" i="8"/>
  <c r="AD29" i="8"/>
  <c r="AE51" i="8"/>
  <c r="AE39" i="8"/>
  <c r="AE44" i="8"/>
  <c r="AD28" i="8"/>
  <c r="AJ46" i="8"/>
  <c r="AD21" i="8"/>
  <c r="AF51" i="8"/>
  <c r="AE26" i="8"/>
  <c r="AD56" i="8"/>
  <c r="AE21" i="8"/>
  <c r="AE40" i="8"/>
  <c r="AE52" i="8"/>
  <c r="AE32" i="8"/>
  <c r="AD23" i="8"/>
  <c r="AE41" i="8"/>
  <c r="AF44" i="8"/>
  <c r="AI14" i="8"/>
  <c r="AJ16" i="8"/>
  <c r="AJ45" i="8"/>
  <c r="AJ26" i="8"/>
  <c r="AJ56" i="8"/>
  <c r="AJ52" i="8"/>
  <c r="AF17" i="8"/>
  <c r="AD52" i="8"/>
  <c r="AL52" i="8" s="1"/>
  <c r="AI52" i="8" s="1"/>
  <c r="AF35" i="8"/>
  <c r="AE59" i="8"/>
  <c r="AF45" i="8"/>
  <c r="AD34" i="8"/>
  <c r="AE38" i="8"/>
  <c r="AD35" i="8"/>
  <c r="AF59" i="8"/>
  <c r="AD38" i="8"/>
  <c r="AF52" i="8"/>
  <c r="AF47" i="8"/>
  <c r="AD53" i="8"/>
  <c r="AE15" i="8"/>
  <c r="AF57" i="8"/>
  <c r="AD14" i="8"/>
  <c r="AD15" i="8"/>
  <c r="AF53" i="8"/>
  <c r="AF38" i="8"/>
  <c r="AF21" i="8"/>
  <c r="AE17" i="8"/>
  <c r="AE27" i="8"/>
  <c r="AF39" i="8"/>
  <c r="AJ57" i="8"/>
  <c r="AJ20" i="8"/>
  <c r="AJ14" i="8"/>
  <c r="AH24" i="8"/>
  <c r="AJ34" i="8"/>
  <c r="AJ59" i="8"/>
  <c r="AH60" i="8"/>
  <c r="AJ58" i="8"/>
  <c r="AJ17" i="8"/>
  <c r="AJ40" i="8"/>
  <c r="AI15" i="8"/>
  <c r="AG18" i="8"/>
  <c r="AI17" i="8"/>
  <c r="X14" i="8" s="1"/>
  <c r="Y14" i="8" s="1"/>
  <c r="AF33" i="8"/>
  <c r="AG42" i="8"/>
  <c r="AH48" i="8"/>
  <c r="AH30" i="8"/>
  <c r="AJ23" i="8"/>
  <c r="AG24" i="8"/>
  <c r="AH54" i="8"/>
  <c r="AJ50" i="8"/>
  <c r="AG60" i="8"/>
  <c r="AJ22" i="8"/>
  <c r="AG30" i="8"/>
  <c r="AG48" i="8"/>
  <c r="AG54" i="8"/>
  <c r="AG36" i="8"/>
  <c r="AH42" i="8"/>
  <c r="AE23" i="8"/>
  <c r="AD45" i="8"/>
  <c r="AJ15" i="8"/>
  <c r="AJ35" i="8"/>
  <c r="AD41" i="8"/>
  <c r="AF56" i="8"/>
  <c r="AF14" i="8"/>
  <c r="AD46" i="8"/>
  <c r="AE57" i="8"/>
  <c r="AD17" i="8"/>
  <c r="AD33" i="8"/>
  <c r="AE53" i="8"/>
  <c r="AF58" i="8"/>
  <c r="AD51" i="8"/>
  <c r="AD22" i="8"/>
  <c r="AF26" i="8"/>
  <c r="AF40" i="8"/>
  <c r="AD16" i="8"/>
  <c r="AE58" i="8"/>
  <c r="AE46" i="8"/>
  <c r="AE34" i="8"/>
  <c r="AE45" i="8"/>
  <c r="AD47" i="8"/>
  <c r="AD32" i="8"/>
  <c r="AL32" i="8" s="1"/>
  <c r="AI32" i="8" s="1"/>
  <c r="AE56" i="8"/>
  <c r="AF15" i="8"/>
  <c r="AF34" i="8"/>
  <c r="AF46" i="8"/>
  <c r="AD58" i="8"/>
  <c r="AD39" i="8"/>
  <c r="AD20" i="8"/>
  <c r="AF27" i="8"/>
  <c r="AE28" i="8"/>
  <c r="AF23" i="8"/>
  <c r="AF29" i="8"/>
  <c r="AE16" i="8"/>
  <c r="AF22" i="8"/>
  <c r="AD40" i="8"/>
  <c r="AL40" i="8" s="1"/>
  <c r="AI40" i="8" s="1"/>
  <c r="AD44" i="8"/>
  <c r="AE22" i="8"/>
  <c r="AE14" i="8"/>
  <c r="AF28" i="8"/>
  <c r="AD59" i="8"/>
  <c r="AE29" i="8"/>
  <c r="AE20" i="8"/>
  <c r="AF16" i="8"/>
  <c r="AE47" i="8"/>
  <c r="AD27" i="8"/>
  <c r="AE50" i="8"/>
  <c r="AF32" i="8"/>
  <c r="AJ39" i="8"/>
  <c r="AJ44" i="8"/>
  <c r="AL21" i="8" l="1"/>
  <c r="AI21" i="8" s="1"/>
  <c r="W47" i="11"/>
  <c r="W30" i="11"/>
  <c r="Y30" i="11" s="1"/>
  <c r="W46" i="11"/>
  <c r="W27" i="11"/>
  <c r="Y27" i="11" s="1"/>
  <c r="W13" i="11"/>
  <c r="AK27" i="11"/>
  <c r="AH27" i="11" s="1"/>
  <c r="AK56" i="11"/>
  <c r="AH56" i="11" s="1"/>
  <c r="AK21" i="11"/>
  <c r="AH21" i="11" s="1"/>
  <c r="AK33" i="11"/>
  <c r="AH33" i="11" s="1"/>
  <c r="AJ31" i="8"/>
  <c r="AJ30" i="8" s="1"/>
  <c r="AK28" i="8" s="1"/>
  <c r="AK40" i="11"/>
  <c r="AH40" i="11" s="1"/>
  <c r="AE47" i="11"/>
  <c r="AD41" i="11"/>
  <c r="AK22" i="11"/>
  <c r="AH22" i="11" s="1"/>
  <c r="AK38" i="11"/>
  <c r="AH38" i="11" s="1"/>
  <c r="AO25" i="11"/>
  <c r="E68" i="11" s="1"/>
  <c r="AO26" i="11"/>
  <c r="H70" i="11" s="1"/>
  <c r="AK25" i="11"/>
  <c r="AC29" i="11"/>
  <c r="AC53" i="11"/>
  <c r="AO50" i="11"/>
  <c r="H74" i="11" s="1"/>
  <c r="AO49" i="11"/>
  <c r="E72" i="11" s="1"/>
  <c r="AK49" i="11"/>
  <c r="AK50" i="11"/>
  <c r="AH50" i="11" s="1"/>
  <c r="AK44" i="11"/>
  <c r="AH44" i="11" s="1"/>
  <c r="AK34" i="11"/>
  <c r="AH34" i="11" s="1"/>
  <c r="AE29" i="11"/>
  <c r="AK32" i="11"/>
  <c r="AH32" i="11" s="1"/>
  <c r="AE23" i="11"/>
  <c r="AK57" i="11"/>
  <c r="AH57" i="11" s="1"/>
  <c r="AC23" i="11"/>
  <c r="AO20" i="11"/>
  <c r="H67" i="11" s="1"/>
  <c r="AO19" i="11"/>
  <c r="E69" i="11" s="1"/>
  <c r="AK19" i="11"/>
  <c r="AO44" i="11"/>
  <c r="H71" i="11" s="1"/>
  <c r="AO43" i="11"/>
  <c r="E73" i="11" s="1"/>
  <c r="AC47" i="11"/>
  <c r="AK43" i="11"/>
  <c r="AK58" i="11"/>
  <c r="AH58" i="11" s="1"/>
  <c r="AO56" i="11"/>
  <c r="H72" i="11" s="1"/>
  <c r="AC59" i="11"/>
  <c r="AK55" i="11"/>
  <c r="AO55" i="11"/>
  <c r="E74" i="11" s="1"/>
  <c r="AE17" i="11"/>
  <c r="AK46" i="11"/>
  <c r="AH46" i="11" s="1"/>
  <c r="AK51" i="11"/>
  <c r="AH51" i="11" s="1"/>
  <c r="AK39" i="11"/>
  <c r="AH39" i="11" s="1"/>
  <c r="AC17" i="11"/>
  <c r="AK13" i="11"/>
  <c r="AK14" i="11"/>
  <c r="AD23" i="11"/>
  <c r="AD29" i="11"/>
  <c r="AE35" i="11"/>
  <c r="AD17" i="11"/>
  <c r="AD47" i="11"/>
  <c r="AK28" i="11"/>
  <c r="AH28" i="11" s="1"/>
  <c r="AK16" i="11"/>
  <c r="AE41" i="11"/>
  <c r="AK45" i="11"/>
  <c r="AH45" i="11" s="1"/>
  <c r="AD59" i="11"/>
  <c r="AD53" i="11"/>
  <c r="AC35" i="11"/>
  <c r="AO31" i="11"/>
  <c r="E70" i="11" s="1"/>
  <c r="AK31" i="11"/>
  <c r="AO32" i="11"/>
  <c r="H68" i="11" s="1"/>
  <c r="AE59" i="11"/>
  <c r="AC41" i="11"/>
  <c r="AO38" i="11"/>
  <c r="H73" i="11" s="1"/>
  <c r="AO37" i="11"/>
  <c r="E71" i="11" s="1"/>
  <c r="AK37" i="11"/>
  <c r="AK52" i="11"/>
  <c r="AH52" i="11" s="1"/>
  <c r="AD35" i="11"/>
  <c r="AE53" i="11"/>
  <c r="AK15" i="11"/>
  <c r="W12" i="11"/>
  <c r="Y12" i="11" s="1"/>
  <c r="AI48" i="11"/>
  <c r="AI47" i="11" s="1"/>
  <c r="AI54" i="11"/>
  <c r="AI60" i="11"/>
  <c r="AI59" i="11" s="1"/>
  <c r="AI18" i="11"/>
  <c r="AI17" i="11" s="1"/>
  <c r="AI30" i="11"/>
  <c r="AI29" i="11" s="1"/>
  <c r="AJ25" i="11" s="1"/>
  <c r="AI24" i="11"/>
  <c r="AH18" i="11"/>
  <c r="AH17" i="11" s="1"/>
  <c r="AI42" i="11"/>
  <c r="AI41" i="11" s="1"/>
  <c r="AI36" i="11"/>
  <c r="AI35" i="11" s="1"/>
  <c r="AL50" i="8"/>
  <c r="AI50" i="8" s="1"/>
  <c r="AL28" i="8"/>
  <c r="AI28" i="8" s="1"/>
  <c r="AL58" i="8"/>
  <c r="AI58" i="8" s="1"/>
  <c r="AL44" i="8"/>
  <c r="AI44" i="8" s="1"/>
  <c r="AE36" i="8"/>
  <c r="AL33" i="8"/>
  <c r="AI33" i="8" s="1"/>
  <c r="X19" i="8" s="1"/>
  <c r="AL57" i="8"/>
  <c r="AI57" i="8" s="1"/>
  <c r="AL41" i="8"/>
  <c r="AI41" i="8" s="1"/>
  <c r="X22" i="8" s="1"/>
  <c r="X13" i="8"/>
  <c r="Y13" i="8" s="1"/>
  <c r="AL35" i="8"/>
  <c r="AI35" i="8" s="1"/>
  <c r="X36" i="8" s="1"/>
  <c r="AL26" i="8"/>
  <c r="AI26" i="8" s="1"/>
  <c r="AL29" i="8"/>
  <c r="AI29" i="8" s="1"/>
  <c r="AL39" i="8"/>
  <c r="AI39" i="8" s="1"/>
  <c r="AE42" i="8"/>
  <c r="AJ43" i="8"/>
  <c r="AJ42" i="8" s="1"/>
  <c r="AK41" i="8" s="1"/>
  <c r="AL59" i="8"/>
  <c r="AI59" i="8" s="1"/>
  <c r="X29" i="8" s="1"/>
  <c r="AL14" i="8"/>
  <c r="AD24" i="8"/>
  <c r="AE60" i="8"/>
  <c r="AL23" i="8"/>
  <c r="AI23" i="8" s="1"/>
  <c r="X30" i="8" s="1"/>
  <c r="Z30" i="8" s="1"/>
  <c r="AJ49" i="8"/>
  <c r="AJ48" i="8" s="1"/>
  <c r="AK44" i="8" s="1"/>
  <c r="AL53" i="8"/>
  <c r="AI53" i="8" s="1"/>
  <c r="X57" i="8" s="1"/>
  <c r="AL17" i="8"/>
  <c r="AJ19" i="8"/>
  <c r="AJ18" i="8" s="1"/>
  <c r="AL27" i="8"/>
  <c r="AI27" i="8" s="1"/>
  <c r="AF48" i="8"/>
  <c r="AD54" i="8"/>
  <c r="AJ55" i="8"/>
  <c r="AJ54" i="8" s="1"/>
  <c r="AK50" i="8" s="1"/>
  <c r="AL15" i="8"/>
  <c r="AI19" i="8"/>
  <c r="AI18" i="8" s="1"/>
  <c r="AF54" i="8"/>
  <c r="AL38" i="8"/>
  <c r="AI38" i="8" s="1"/>
  <c r="AF42" i="8"/>
  <c r="AJ61" i="8"/>
  <c r="AJ60" i="8" s="1"/>
  <c r="AK57" i="8" s="1"/>
  <c r="AJ37" i="8"/>
  <c r="AJ36" i="8" s="1"/>
  <c r="AK35" i="8" s="1"/>
  <c r="AF60" i="8"/>
  <c r="AL51" i="8"/>
  <c r="AI51" i="8" s="1"/>
  <c r="AE48" i="8"/>
  <c r="AF24" i="8"/>
  <c r="AE24" i="8"/>
  <c r="AJ25" i="8"/>
  <c r="AJ24" i="8" s="1"/>
  <c r="AK21" i="8" s="1"/>
  <c r="AF18" i="8"/>
  <c r="AL34" i="8"/>
  <c r="AI34" i="8" s="1"/>
  <c r="X34" i="8" s="1"/>
  <c r="Z34" i="8" s="1"/>
  <c r="AL56" i="8"/>
  <c r="AI56" i="8" s="1"/>
  <c r="AD30" i="8"/>
  <c r="AF36" i="8"/>
  <c r="AL22" i="8"/>
  <c r="AI22" i="8" s="1"/>
  <c r="AF30" i="8"/>
  <c r="AE54" i="8"/>
  <c r="AE30" i="8"/>
  <c r="AD48" i="8"/>
  <c r="AD60" i="8"/>
  <c r="AE18" i="8"/>
  <c r="AL16" i="8"/>
  <c r="AL46" i="8"/>
  <c r="AI46" i="8" s="1"/>
  <c r="AL45" i="8"/>
  <c r="AD36" i="8"/>
  <c r="AD18" i="8"/>
  <c r="AD42" i="8"/>
  <c r="AL20" i="8"/>
  <c r="AL47" i="8"/>
  <c r="AI47" i="8" s="1"/>
  <c r="Z14" i="8"/>
  <c r="X58" i="8"/>
  <c r="X60" i="8"/>
  <c r="X56" i="8"/>
  <c r="X31" i="8"/>
  <c r="AK29" i="8" l="1"/>
  <c r="AK27" i="8"/>
  <c r="AK26" i="8"/>
  <c r="X30" i="11"/>
  <c r="Y47" i="11"/>
  <c r="X47" i="11"/>
  <c r="X46" i="11"/>
  <c r="Y46" i="11"/>
  <c r="X27" i="11"/>
  <c r="Y13" i="11"/>
  <c r="X13" i="11"/>
  <c r="AR19" i="11"/>
  <c r="AS34" i="11"/>
  <c r="AS58" i="11"/>
  <c r="AQ28" i="11"/>
  <c r="AR34" i="11"/>
  <c r="AR25" i="11"/>
  <c r="AS28" i="11"/>
  <c r="AR52" i="11"/>
  <c r="AS38" i="11"/>
  <c r="AQ50" i="11"/>
  <c r="AR37" i="11"/>
  <c r="AQ21" i="11"/>
  <c r="AR56" i="11"/>
  <c r="AR57" i="11"/>
  <c r="AP28" i="11"/>
  <c r="AQ32" i="11"/>
  <c r="AS16" i="11"/>
  <c r="AS55" i="11"/>
  <c r="AS43" i="11"/>
  <c r="AS22" i="11"/>
  <c r="AR50" i="11"/>
  <c r="AS57" i="11"/>
  <c r="AP44" i="11"/>
  <c r="AQ20" i="11"/>
  <c r="AS32" i="11"/>
  <c r="AS26" i="11"/>
  <c r="AS46" i="11"/>
  <c r="AR58" i="11"/>
  <c r="AS45" i="11"/>
  <c r="AS31" i="11"/>
  <c r="AP46" i="11"/>
  <c r="AQ58" i="11"/>
  <c r="AQ38" i="11"/>
  <c r="AS25" i="11"/>
  <c r="AS50" i="11"/>
  <c r="AR40" i="11"/>
  <c r="AS39" i="11"/>
  <c r="AR13" i="11"/>
  <c r="AR28" i="11"/>
  <c r="AT28" i="11" s="1"/>
  <c r="AS51" i="11"/>
  <c r="AR31" i="11"/>
  <c r="AS44" i="11"/>
  <c r="AS19" i="11"/>
  <c r="AR21" i="11"/>
  <c r="AR43" i="11"/>
  <c r="AQ15" i="11"/>
  <c r="AP14" i="11"/>
  <c r="AQ33" i="11"/>
  <c r="AP22" i="11"/>
  <c r="AP31" i="11"/>
  <c r="AS13" i="11"/>
  <c r="AS56" i="11"/>
  <c r="AS21" i="11"/>
  <c r="AR33" i="11"/>
  <c r="AR20" i="11"/>
  <c r="AR32" i="11"/>
  <c r="AS49" i="11"/>
  <c r="AR14" i="11"/>
  <c r="AS52" i="11"/>
  <c r="AR26" i="11"/>
  <c r="AS33" i="11"/>
  <c r="AR55" i="11"/>
  <c r="AT55" i="11" s="1"/>
  <c r="AQ25" i="11"/>
  <c r="AP45" i="11"/>
  <c r="AP57" i="11"/>
  <c r="AP26" i="11"/>
  <c r="AP34" i="11"/>
  <c r="AK35" i="11"/>
  <c r="AH31" i="11"/>
  <c r="AH36" i="11" s="1"/>
  <c r="AH35" i="11" s="1"/>
  <c r="AK17" i="11"/>
  <c r="AK59" i="11"/>
  <c r="AH55" i="11"/>
  <c r="AH60" i="11" s="1"/>
  <c r="AH59" i="11" s="1"/>
  <c r="AK47" i="11"/>
  <c r="AH43" i="11"/>
  <c r="AH48" i="11" s="1"/>
  <c r="AH47" i="11" s="1"/>
  <c r="AK23" i="11"/>
  <c r="AH19" i="11"/>
  <c r="AH24" i="11" s="1"/>
  <c r="AH23" i="11" s="1"/>
  <c r="AH25" i="11"/>
  <c r="AH30" i="11" s="1"/>
  <c r="AH29" i="11" s="1"/>
  <c r="AK29" i="11"/>
  <c r="AH49" i="11"/>
  <c r="AH54" i="11" s="1"/>
  <c r="AH53" i="11" s="1"/>
  <c r="AK53" i="11"/>
  <c r="AH37" i="11"/>
  <c r="AH42" i="11" s="1"/>
  <c r="AH41" i="11" s="1"/>
  <c r="AK41" i="11"/>
  <c r="AQ14" i="11"/>
  <c r="AP20" i="11"/>
  <c r="AQ26" i="11"/>
  <c r="AQ55" i="11"/>
  <c r="AP39" i="11"/>
  <c r="AP32" i="11"/>
  <c r="AP50" i="11"/>
  <c r="AQ40" i="11"/>
  <c r="AP16" i="11"/>
  <c r="AP33" i="11"/>
  <c r="AP49" i="11"/>
  <c r="AQ22" i="11"/>
  <c r="AJ28" i="11"/>
  <c r="AR49" i="11"/>
  <c r="AQ56" i="11"/>
  <c r="AQ57" i="11"/>
  <c r="AP51" i="11"/>
  <c r="AP58" i="11"/>
  <c r="AP40" i="11"/>
  <c r="AQ51" i="11"/>
  <c r="AQ44" i="11"/>
  <c r="AP25" i="11"/>
  <c r="AQ16" i="11"/>
  <c r="AQ52" i="11"/>
  <c r="AP56" i="11"/>
  <c r="AP15" i="11"/>
  <c r="AQ31" i="11"/>
  <c r="AP55" i="11"/>
  <c r="AQ43" i="11"/>
  <c r="AP38" i="11"/>
  <c r="X12" i="11"/>
  <c r="AR27" i="11"/>
  <c r="AS40" i="11"/>
  <c r="AR39" i="11"/>
  <c r="AR15" i="11"/>
  <c r="AR38" i="11"/>
  <c r="AS15" i="11"/>
  <c r="AR22" i="11"/>
  <c r="AS27" i="11"/>
  <c r="AR45" i="11"/>
  <c r="AS14" i="11"/>
  <c r="AS37" i="11"/>
  <c r="AR44" i="11"/>
  <c r="AR16" i="11"/>
  <c r="AS20" i="11"/>
  <c r="AR46" i="11"/>
  <c r="AR51" i="11"/>
  <c r="AQ49" i="11"/>
  <c r="AQ19" i="11"/>
  <c r="AQ37" i="11"/>
  <c r="AP52" i="11"/>
  <c r="AP27" i="11"/>
  <c r="AQ34" i="11"/>
  <c r="AQ27" i="11"/>
  <c r="AP13" i="11"/>
  <c r="AP43" i="11"/>
  <c r="AP21" i="11"/>
  <c r="AP37" i="11"/>
  <c r="AQ45" i="11"/>
  <c r="AQ13" i="11"/>
  <c r="AQ46" i="11"/>
  <c r="AQ39" i="11"/>
  <c r="AP19" i="11"/>
  <c r="AT25" i="11"/>
  <c r="AJ39" i="11"/>
  <c r="AJ38" i="11"/>
  <c r="AJ27" i="11"/>
  <c r="AJ16" i="11"/>
  <c r="AJ34" i="11"/>
  <c r="AI23" i="11"/>
  <c r="AJ22" i="11" s="1"/>
  <c r="AJ46" i="11"/>
  <c r="AJ57" i="11"/>
  <c r="AJ14" i="11"/>
  <c r="AJ37" i="11"/>
  <c r="AJ40" i="11"/>
  <c r="AJ33" i="11"/>
  <c r="AJ13" i="11"/>
  <c r="AJ26" i="11"/>
  <c r="AJ32" i="11"/>
  <c r="AI53" i="11"/>
  <c r="AJ31" i="11"/>
  <c r="AJ45" i="11"/>
  <c r="AJ44" i="11"/>
  <c r="AJ15" i="11"/>
  <c r="AJ55" i="11"/>
  <c r="AJ43" i="11"/>
  <c r="AJ56" i="11"/>
  <c r="AJ58" i="11"/>
  <c r="X50" i="8"/>
  <c r="Z50" i="8" s="1"/>
  <c r="X26" i="8"/>
  <c r="Y26" i="8" s="1"/>
  <c r="X18" i="8"/>
  <c r="Z18" i="8" s="1"/>
  <c r="Y30" i="8"/>
  <c r="X16" i="8"/>
  <c r="Z16" i="8" s="1"/>
  <c r="Z13" i="8"/>
  <c r="AL30" i="8"/>
  <c r="AK39" i="8"/>
  <c r="AI37" i="8"/>
  <c r="AI36" i="8" s="1"/>
  <c r="X42" i="8"/>
  <c r="Y42" i="8" s="1"/>
  <c r="X55" i="8"/>
  <c r="Y55" i="8" s="1"/>
  <c r="Z29" i="8"/>
  <c r="Y29" i="8"/>
  <c r="X51" i="8"/>
  <c r="Y51" i="8" s="1"/>
  <c r="X53" i="8"/>
  <c r="Y53" i="8" s="1"/>
  <c r="AI61" i="8"/>
  <c r="AI60" i="8" s="1"/>
  <c r="AI43" i="8"/>
  <c r="AI42" i="8" s="1"/>
  <c r="X38" i="8"/>
  <c r="Z38" i="8" s="1"/>
  <c r="AK17" i="8"/>
  <c r="AK16" i="8"/>
  <c r="AK40" i="8"/>
  <c r="AK38" i="8"/>
  <c r="AK15" i="8"/>
  <c r="AL18" i="8"/>
  <c r="X37" i="8"/>
  <c r="Y37" i="8" s="1"/>
  <c r="AK14" i="8"/>
  <c r="X25" i="8"/>
  <c r="Y25" i="8" s="1"/>
  <c r="X21" i="8"/>
  <c r="Y21" i="8" s="1"/>
  <c r="X46" i="8"/>
  <c r="Y46" i="8" s="1"/>
  <c r="AL42" i="8"/>
  <c r="AK33" i="8"/>
  <c r="AK34" i="8"/>
  <c r="AL54" i="8"/>
  <c r="AI55" i="8"/>
  <c r="AI54" i="8" s="1"/>
  <c r="AK32" i="8"/>
  <c r="X43" i="8"/>
  <c r="Y43" i="8" s="1"/>
  <c r="X27" i="8"/>
  <c r="Y34" i="8"/>
  <c r="X33" i="8"/>
  <c r="Z33" i="8" s="1"/>
  <c r="AK23" i="8"/>
  <c r="AK47" i="8"/>
  <c r="AL60" i="8"/>
  <c r="AL36" i="8"/>
  <c r="AK46" i="8"/>
  <c r="X24" i="8"/>
  <c r="Z24" i="8" s="1"/>
  <c r="AK45" i="8"/>
  <c r="X52" i="8"/>
  <c r="X20" i="8"/>
  <c r="AI20" i="8"/>
  <c r="AL24" i="8"/>
  <c r="AI45" i="8"/>
  <c r="AL48" i="8"/>
  <c r="AK20" i="8"/>
  <c r="AK22" i="8"/>
  <c r="AK56" i="8"/>
  <c r="AK51" i="8"/>
  <c r="AK58" i="8"/>
  <c r="AK59" i="8"/>
  <c r="AK52" i="8"/>
  <c r="AK53" i="8"/>
  <c r="Y22" i="8"/>
  <c r="Z22" i="8"/>
  <c r="Z56" i="8"/>
  <c r="Y56" i="8"/>
  <c r="Y19" i="8"/>
  <c r="Z19" i="8"/>
  <c r="Y31" i="8"/>
  <c r="Z31" i="8"/>
  <c r="Z57" i="8"/>
  <c r="Y57" i="8"/>
  <c r="Z36" i="8"/>
  <c r="Y36" i="8"/>
  <c r="X35" i="8"/>
  <c r="X17" i="8"/>
  <c r="AI31" i="8"/>
  <c r="AI30" i="8" s="1"/>
  <c r="X49" i="8"/>
  <c r="Z60" i="8"/>
  <c r="Y60" i="8"/>
  <c r="Y58" i="8"/>
  <c r="Z58" i="8"/>
  <c r="AQ53" i="11" l="1"/>
  <c r="AT13" i="11"/>
  <c r="AT19" i="11"/>
  <c r="AT50" i="11"/>
  <c r="AT16" i="11"/>
  <c r="AT45" i="11"/>
  <c r="AT38" i="11"/>
  <c r="AT44" i="11"/>
  <c r="AT34" i="11"/>
  <c r="AT33" i="11"/>
  <c r="AT32" i="11"/>
  <c r="AT58" i="11"/>
  <c r="AP47" i="11"/>
  <c r="AR29" i="11"/>
  <c r="AT52" i="11"/>
  <c r="AS35" i="11"/>
  <c r="AT57" i="11"/>
  <c r="AS29" i="11"/>
  <c r="AT31" i="11"/>
  <c r="AQ41" i="11"/>
  <c r="AT37" i="11"/>
  <c r="AS47" i="11"/>
  <c r="AT14" i="11"/>
  <c r="AP35" i="11"/>
  <c r="AT26" i="11"/>
  <c r="AS59" i="11"/>
  <c r="AR59" i="11"/>
  <c r="AT43" i="11"/>
  <c r="AQ29" i="11"/>
  <c r="AT46" i="11"/>
  <c r="AT22" i="11"/>
  <c r="AT51" i="11"/>
  <c r="AT20" i="11"/>
  <c r="AS53" i="11"/>
  <c r="AT21" i="11"/>
  <c r="AR35" i="11"/>
  <c r="AT39" i="11"/>
  <c r="AT49" i="11"/>
  <c r="AT56" i="11"/>
  <c r="AT40" i="11"/>
  <c r="AP41" i="11"/>
  <c r="AS17" i="11"/>
  <c r="AQ23" i="11"/>
  <c r="AP53" i="11"/>
  <c r="AJ21" i="11"/>
  <c r="AQ17" i="11"/>
  <c r="AQ59" i="11"/>
  <c r="AS23" i="11"/>
  <c r="AR53" i="11"/>
  <c r="AQ47" i="11"/>
  <c r="AP29" i="11"/>
  <c r="AR41" i="11"/>
  <c r="AT27" i="11"/>
  <c r="AT29" i="11" s="1"/>
  <c r="AP59" i="11"/>
  <c r="AS41" i="11"/>
  <c r="AR23" i="11"/>
  <c r="AP23" i="11"/>
  <c r="AP17" i="11"/>
  <c r="AR47" i="11"/>
  <c r="AT15" i="11"/>
  <c r="AQ35" i="11"/>
  <c r="AR17" i="11"/>
  <c r="AJ19" i="11"/>
  <c r="AJ20" i="11"/>
  <c r="AJ52" i="11"/>
  <c r="AJ51" i="11"/>
  <c r="AJ50" i="11"/>
  <c r="AJ49" i="11"/>
  <c r="Z26" i="8"/>
  <c r="Y50" i="8"/>
  <c r="Y18" i="8"/>
  <c r="Y16" i="8"/>
  <c r="Z55" i="8"/>
  <c r="Z21" i="8"/>
  <c r="Z51" i="8"/>
  <c r="Z42" i="8"/>
  <c r="Y38" i="8"/>
  <c r="Z46" i="8"/>
  <c r="Z53" i="8"/>
  <c r="Z37" i="8"/>
  <c r="Z25" i="8"/>
  <c r="Y24" i="8"/>
  <c r="X40" i="8"/>
  <c r="Z40" i="8" s="1"/>
  <c r="X41" i="8"/>
  <c r="X47" i="8"/>
  <c r="Z47" i="8" s="1"/>
  <c r="X45" i="8"/>
  <c r="Y33" i="8"/>
  <c r="Z43" i="8"/>
  <c r="Z27" i="8"/>
  <c r="Y27" i="8"/>
  <c r="Z20" i="8"/>
  <c r="Y20" i="8"/>
  <c r="Y52" i="8"/>
  <c r="Z52" i="8"/>
  <c r="X54" i="8"/>
  <c r="AI49" i="8"/>
  <c r="AI48" i="8" s="1"/>
  <c r="X39" i="8"/>
  <c r="X23" i="8"/>
  <c r="AI25" i="8"/>
  <c r="AI24" i="8" s="1"/>
  <c r="X32" i="8"/>
  <c r="X44" i="8"/>
  <c r="X28" i="8"/>
  <c r="X15" i="8"/>
  <c r="X48" i="8"/>
  <c r="X59" i="8"/>
  <c r="Y35" i="8"/>
  <c r="Z35" i="8"/>
  <c r="Y49" i="8"/>
  <c r="Z49" i="8"/>
  <c r="Z17" i="8"/>
  <c r="Y17" i="8"/>
  <c r="AT35" i="11" l="1"/>
  <c r="AL31" i="11" s="1"/>
  <c r="AT59" i="11"/>
  <c r="AL55" i="11" s="1"/>
  <c r="AT47" i="11"/>
  <c r="AL43" i="11" s="1"/>
  <c r="AT41" i="11"/>
  <c r="AL38" i="11" s="1"/>
  <c r="AT53" i="11"/>
  <c r="AL50" i="11" s="1"/>
  <c r="AT23" i="11"/>
  <c r="AL20" i="11" s="1"/>
  <c r="AT17" i="11"/>
  <c r="AL16" i="11" s="1"/>
  <c r="AL28" i="11"/>
  <c r="AL27" i="11"/>
  <c r="AL25" i="11"/>
  <c r="AL26" i="11"/>
  <c r="Y47" i="8"/>
  <c r="Y40" i="8"/>
  <c r="Y45" i="8"/>
  <c r="Z45" i="8"/>
  <c r="Z41" i="8"/>
  <c r="Y41" i="8"/>
  <c r="AS16" i="8"/>
  <c r="AR26" i="8"/>
  <c r="AT23" i="8"/>
  <c r="AQ41" i="8"/>
  <c r="AQ33" i="8"/>
  <c r="AS41" i="8"/>
  <c r="AQ39" i="8"/>
  <c r="AT34" i="8"/>
  <c r="AQ21" i="8"/>
  <c r="AT15" i="8"/>
  <c r="AT33" i="8"/>
  <c r="AR56" i="8"/>
  <c r="AR53" i="8"/>
  <c r="AR29" i="8"/>
  <c r="AT46" i="8"/>
  <c r="AS23" i="8"/>
  <c r="AT38" i="8"/>
  <c r="AR38" i="8"/>
  <c r="AS39" i="8"/>
  <c r="AQ47" i="8"/>
  <c r="AS28" i="8"/>
  <c r="AR50" i="8"/>
  <c r="AQ20" i="8"/>
  <c r="AR45" i="8"/>
  <c r="AQ59" i="8"/>
  <c r="AQ34" i="8"/>
  <c r="AQ22" i="8"/>
  <c r="AS26" i="8"/>
  <c r="AT59" i="8"/>
  <c r="AQ56" i="8"/>
  <c r="AT47" i="8"/>
  <c r="AT28" i="8"/>
  <c r="AQ52" i="8"/>
  <c r="AT40" i="8"/>
  <c r="AR52" i="8"/>
  <c r="AS51" i="8"/>
  <c r="AS50" i="8"/>
  <c r="AT50" i="8"/>
  <c r="AR14" i="8"/>
  <c r="AS15" i="8"/>
  <c r="AT44" i="8"/>
  <c r="AT21" i="8"/>
  <c r="AS52" i="8"/>
  <c r="AS46" i="8"/>
  <c r="AR57" i="8"/>
  <c r="AR17" i="8"/>
  <c r="AQ38" i="8"/>
  <c r="AR28" i="8"/>
  <c r="AR32" i="8"/>
  <c r="AR23" i="8"/>
  <c r="AQ16" i="8"/>
  <c r="AQ58" i="8"/>
  <c r="AS47" i="8"/>
  <c r="AR27" i="8"/>
  <c r="AS33" i="8"/>
  <c r="AR34" i="8"/>
  <c r="AQ15" i="8"/>
  <c r="AS35" i="8"/>
  <c r="AR33" i="8"/>
  <c r="AS17" i="8"/>
  <c r="AQ26" i="8"/>
  <c r="AT57" i="8"/>
  <c r="AR21" i="8"/>
  <c r="AS59" i="8"/>
  <c r="AS58" i="8"/>
  <c r="AT51" i="8"/>
  <c r="AT16" i="8"/>
  <c r="AT41" i="8"/>
  <c r="AR41" i="8"/>
  <c r="AQ40" i="8"/>
  <c r="AT26" i="8"/>
  <c r="AR51" i="8"/>
  <c r="AT27" i="8"/>
  <c r="AR59" i="8"/>
  <c r="AQ53" i="8"/>
  <c r="AS21" i="8"/>
  <c r="AS27" i="8"/>
  <c r="AU27" i="8" s="1"/>
  <c r="AQ27" i="8"/>
  <c r="AQ17" i="8"/>
  <c r="AT32" i="8"/>
  <c r="AQ35" i="8"/>
  <c r="AS20" i="8"/>
  <c r="AR16" i="8"/>
  <c r="AT39" i="8"/>
  <c r="AQ29" i="8"/>
  <c r="AS44" i="8"/>
  <c r="AS45" i="8"/>
  <c r="AQ57" i="8"/>
  <c r="AQ44" i="8"/>
  <c r="AT53" i="8"/>
  <c r="AS32" i="8"/>
  <c r="AQ50" i="8"/>
  <c r="AQ32" i="8"/>
  <c r="AR40" i="8"/>
  <c r="AR22" i="8"/>
  <c r="AR35" i="8"/>
  <c r="AT58" i="8"/>
  <c r="AQ23" i="8"/>
  <c r="AS14" i="8"/>
  <c r="AR39" i="8"/>
  <c r="AT35" i="8"/>
  <c r="AT52" i="8"/>
  <c r="AR58" i="8"/>
  <c r="AR47" i="8"/>
  <c r="AR15" i="8"/>
  <c r="AS22" i="8"/>
  <c r="AR46" i="8"/>
  <c r="AQ28" i="8"/>
  <c r="AQ45" i="8"/>
  <c r="AQ46" i="8"/>
  <c r="AQ14" i="8"/>
  <c r="AT29" i="8"/>
  <c r="AS57" i="8"/>
  <c r="AS29" i="8"/>
  <c r="AT14" i="8"/>
  <c r="AT20" i="8"/>
  <c r="AT45" i="8"/>
  <c r="AS38" i="8"/>
  <c r="AS53" i="8"/>
  <c r="AR20" i="8"/>
  <c r="AR44" i="8"/>
  <c r="AS34" i="8"/>
  <c r="AQ51" i="8"/>
  <c r="AS56" i="8"/>
  <c r="AT17" i="8"/>
  <c r="Y59" i="8"/>
  <c r="Z59" i="8"/>
  <c r="Z15" i="8"/>
  <c r="AT22" i="8"/>
  <c r="Y15" i="8"/>
  <c r="AS40" i="8"/>
  <c r="Y44" i="8"/>
  <c r="Z44" i="8"/>
  <c r="Y39" i="8"/>
  <c r="Z39" i="8"/>
  <c r="Z54" i="8"/>
  <c r="Y54" i="8"/>
  <c r="Z48" i="8"/>
  <c r="Y48" i="8"/>
  <c r="Y28" i="8"/>
  <c r="Z28" i="8"/>
  <c r="Y32" i="8"/>
  <c r="Z32" i="8"/>
  <c r="Y23" i="8"/>
  <c r="Z23" i="8"/>
  <c r="AT56" i="8"/>
  <c r="AL58" i="11" l="1"/>
  <c r="AL32" i="11"/>
  <c r="AL33" i="11"/>
  <c r="AL34" i="11"/>
  <c r="AL52" i="11"/>
  <c r="AL44" i="11"/>
  <c r="AL37" i="11"/>
  <c r="AL46" i="11"/>
  <c r="AL40" i="11"/>
  <c r="AL14" i="11"/>
  <c r="AL45" i="11"/>
  <c r="AL39" i="11"/>
  <c r="AL56" i="11"/>
  <c r="AL49" i="11"/>
  <c r="AL57" i="11"/>
  <c r="AL21" i="11"/>
  <c r="AL51" i="11"/>
  <c r="AL22" i="11"/>
  <c r="AL19" i="11"/>
  <c r="AL13" i="11"/>
  <c r="AL15" i="11"/>
  <c r="AL29" i="11"/>
  <c r="AN25" i="11" s="1"/>
  <c r="AT48" i="8"/>
  <c r="AU33" i="8"/>
  <c r="AT54" i="8"/>
  <c r="AU47" i="8"/>
  <c r="AU15" i="8"/>
  <c r="AU21" i="8"/>
  <c r="AU34" i="8"/>
  <c r="AS24" i="8"/>
  <c r="AU51" i="8"/>
  <c r="AQ18" i="8"/>
  <c r="AU16" i="8"/>
  <c r="AR30" i="8"/>
  <c r="AU29" i="8"/>
  <c r="AU39" i="8"/>
  <c r="AU40" i="8"/>
  <c r="AU41" i="8"/>
  <c r="AT60" i="8"/>
  <c r="AS48" i="8"/>
  <c r="AU38" i="8"/>
  <c r="AQ24" i="8"/>
  <c r="AT42" i="8"/>
  <c r="AU32" i="8"/>
  <c r="AR54" i="8"/>
  <c r="AQ42" i="8"/>
  <c r="AU59" i="8"/>
  <c r="AS54" i="8"/>
  <c r="AU17" i="8"/>
  <c r="AU57" i="8"/>
  <c r="AR18" i="8"/>
  <c r="AR60" i="8"/>
  <c r="AT36" i="8"/>
  <c r="AS18" i="8"/>
  <c r="AQ36" i="8"/>
  <c r="AU26" i="8"/>
  <c r="AS60" i="8"/>
  <c r="AT30" i="8"/>
  <c r="AR42" i="8"/>
  <c r="AR36" i="8"/>
  <c r="AQ60" i="8"/>
  <c r="AU44" i="8"/>
  <c r="AU46" i="8"/>
  <c r="AU23" i="8"/>
  <c r="AR24" i="8"/>
  <c r="AQ48" i="8"/>
  <c r="AT18" i="8"/>
  <c r="AU28" i="8"/>
  <c r="AU52" i="8"/>
  <c r="AU35" i="8"/>
  <c r="AU50" i="8"/>
  <c r="AT24" i="8"/>
  <c r="AR48" i="8"/>
  <c r="AQ54" i="8"/>
  <c r="AU53" i="8"/>
  <c r="AU20" i="8"/>
  <c r="AQ30" i="8"/>
  <c r="AS30" i="8"/>
  <c r="AU22" i="8"/>
  <c r="AS36" i="8"/>
  <c r="AU14" i="8"/>
  <c r="AU45" i="8"/>
  <c r="AU58" i="8"/>
  <c r="AS42" i="8"/>
  <c r="AU56" i="8"/>
  <c r="AL35" i="11" l="1"/>
  <c r="AN32" i="11" s="1"/>
  <c r="AL41" i="11"/>
  <c r="AN38" i="11" s="1"/>
  <c r="AL23" i="11"/>
  <c r="AN22" i="11" s="1"/>
  <c r="AL59" i="11"/>
  <c r="AN57" i="11" s="1"/>
  <c r="AL47" i="11"/>
  <c r="AN43" i="11" s="1"/>
  <c r="AL53" i="11"/>
  <c r="AN52" i="11" s="1"/>
  <c r="AL17" i="11"/>
  <c r="AN13" i="11" s="1"/>
  <c r="AN27" i="11"/>
  <c r="AN26" i="11"/>
  <c r="AN28" i="11"/>
  <c r="AU36" i="8"/>
  <c r="AM33" i="8" s="1"/>
  <c r="AU30" i="8"/>
  <c r="AM27" i="8" s="1"/>
  <c r="AU42" i="8"/>
  <c r="AM40" i="8" s="1"/>
  <c r="AU48" i="8"/>
  <c r="AM47" i="8" s="1"/>
  <c r="AU18" i="8"/>
  <c r="AM16" i="8" s="1"/>
  <c r="AU24" i="8"/>
  <c r="AM23" i="8" s="1"/>
  <c r="AU54" i="8"/>
  <c r="AM52" i="8" s="1"/>
  <c r="AU60" i="8"/>
  <c r="AN33" i="11" l="1"/>
  <c r="AN31" i="11"/>
  <c r="AN34" i="11"/>
  <c r="AN15" i="11"/>
  <c r="AN19" i="11"/>
  <c r="AN14" i="11"/>
  <c r="AN45" i="11"/>
  <c r="AN56" i="11"/>
  <c r="AN46" i="11"/>
  <c r="AN58" i="11"/>
  <c r="AN55" i="11"/>
  <c r="AN40" i="11"/>
  <c r="AN20" i="11"/>
  <c r="AN21" i="11"/>
  <c r="AN16" i="11"/>
  <c r="AN37" i="11"/>
  <c r="AN39" i="11"/>
  <c r="AN50" i="11"/>
  <c r="AN51" i="11"/>
  <c r="AN49" i="11"/>
  <c r="AN44" i="11"/>
  <c r="AA27" i="11"/>
  <c r="AA25" i="11"/>
  <c r="N26" i="11" s="1"/>
  <c r="AA28" i="11"/>
  <c r="AA26" i="11"/>
  <c r="AM32" i="8"/>
  <c r="AM35" i="8"/>
  <c r="AM22" i="8"/>
  <c r="AM34" i="8"/>
  <c r="AM29" i="8"/>
  <c r="AM44" i="8"/>
  <c r="AM28" i="8"/>
  <c r="AM39" i="8"/>
  <c r="AM41" i="8"/>
  <c r="AM26" i="8"/>
  <c r="AM38" i="8"/>
  <c r="AM17" i="8"/>
  <c r="AM15" i="8"/>
  <c r="AM50" i="8"/>
  <c r="AM46" i="8"/>
  <c r="AM45" i="8"/>
  <c r="AM21" i="8"/>
  <c r="AM14" i="8"/>
  <c r="AM53" i="8"/>
  <c r="AM51" i="8"/>
  <c r="AM20" i="8"/>
  <c r="AM59" i="8"/>
  <c r="AM56" i="8"/>
  <c r="AM58" i="8"/>
  <c r="AM57" i="8"/>
  <c r="AA20" i="11" l="1"/>
  <c r="AA32" i="11"/>
  <c r="AA31" i="11"/>
  <c r="O32" i="11" s="1"/>
  <c r="AA33" i="11"/>
  <c r="AA22" i="11"/>
  <c r="AA34" i="11"/>
  <c r="AA16" i="11"/>
  <c r="AA14" i="11"/>
  <c r="AA43" i="11"/>
  <c r="N44" i="11" s="1"/>
  <c r="AA45" i="11"/>
  <c r="AA37" i="11"/>
  <c r="L38" i="11" s="1"/>
  <c r="AA58" i="11"/>
  <c r="AA19" i="11"/>
  <c r="O20" i="11" s="1"/>
  <c r="AA56" i="11"/>
  <c r="AA57" i="11"/>
  <c r="AA39" i="11"/>
  <c r="AA40" i="11"/>
  <c r="AA15" i="11"/>
  <c r="AA49" i="11"/>
  <c r="Q50" i="11" s="1"/>
  <c r="AA55" i="11"/>
  <c r="L56" i="11" s="1"/>
  <c r="AA13" i="11"/>
  <c r="O14" i="11" s="1"/>
  <c r="AA38" i="11"/>
  <c r="AA21" i="11"/>
  <c r="AA46" i="11"/>
  <c r="AA44" i="11"/>
  <c r="N45" i="11" s="1"/>
  <c r="AA51" i="11"/>
  <c r="AA50" i="11"/>
  <c r="O51" i="11" s="1"/>
  <c r="AA52" i="11"/>
  <c r="P26" i="11"/>
  <c r="O26" i="11"/>
  <c r="L26" i="11"/>
  <c r="Q26" i="11"/>
  <c r="L29" i="11"/>
  <c r="N28" i="11"/>
  <c r="N29" i="11"/>
  <c r="O27" i="11"/>
  <c r="Q27" i="11"/>
  <c r="Q29" i="11"/>
  <c r="N27" i="11"/>
  <c r="L28" i="11"/>
  <c r="O28" i="11"/>
  <c r="P29" i="11"/>
  <c r="P27" i="11"/>
  <c r="Q28" i="11"/>
  <c r="O29" i="11"/>
  <c r="P28" i="11"/>
  <c r="L27" i="11"/>
  <c r="AM36" i="8"/>
  <c r="AO33" i="8" s="1"/>
  <c r="AM54" i="8"/>
  <c r="AO50" i="8" s="1"/>
  <c r="AM30" i="8"/>
  <c r="AO26" i="8" s="1"/>
  <c r="AM42" i="8"/>
  <c r="AO41" i="8" s="1"/>
  <c r="AM18" i="8"/>
  <c r="AO15" i="8" s="1"/>
  <c r="AM24" i="8"/>
  <c r="AO20" i="8" s="1"/>
  <c r="AM48" i="8"/>
  <c r="AO45" i="8" s="1"/>
  <c r="AM60" i="8"/>
  <c r="P35" i="11" l="1"/>
  <c r="L35" i="11"/>
  <c r="P32" i="11"/>
  <c r="N35" i="11"/>
  <c r="L34" i="11"/>
  <c r="Q32" i="11"/>
  <c r="N33" i="11"/>
  <c r="O35" i="11"/>
  <c r="N34" i="11"/>
  <c r="Q35" i="11"/>
  <c r="P34" i="11"/>
  <c r="O34" i="11"/>
  <c r="Q34" i="11"/>
  <c r="L32" i="11"/>
  <c r="N32" i="11"/>
  <c r="R32" i="11" s="1"/>
  <c r="L33" i="11"/>
  <c r="O33" i="11"/>
  <c r="P33" i="11"/>
  <c r="Q33" i="11"/>
  <c r="L44" i="11"/>
  <c r="O44" i="11"/>
  <c r="R44" i="11" s="1"/>
  <c r="Q44" i="11"/>
  <c r="N40" i="11"/>
  <c r="P44" i="11"/>
  <c r="N38" i="11"/>
  <c r="Q38" i="11"/>
  <c r="N58" i="11"/>
  <c r="L15" i="11"/>
  <c r="AO14" i="11" s="1"/>
  <c r="H69" i="11" s="1"/>
  <c r="Q46" i="11"/>
  <c r="Q14" i="11"/>
  <c r="P38" i="11"/>
  <c r="N50" i="11"/>
  <c r="O38" i="11"/>
  <c r="Q40" i="11"/>
  <c r="P59" i="11"/>
  <c r="P17" i="11"/>
  <c r="L17" i="11"/>
  <c r="Q45" i="11"/>
  <c r="L22" i="11"/>
  <c r="Q22" i="11"/>
  <c r="N22" i="11"/>
  <c r="L45" i="11"/>
  <c r="Q17" i="11"/>
  <c r="O15" i="11"/>
  <c r="Q20" i="11"/>
  <c r="P20" i="11"/>
  <c r="L14" i="11"/>
  <c r="AO13" i="11" s="1"/>
  <c r="E67" i="11" s="1"/>
  <c r="O47" i="11"/>
  <c r="P47" i="11"/>
  <c r="N15" i="11"/>
  <c r="Q16" i="11"/>
  <c r="N17" i="11"/>
  <c r="Q21" i="11"/>
  <c r="P23" i="11"/>
  <c r="P22" i="11"/>
  <c r="O21" i="11"/>
  <c r="P57" i="11"/>
  <c r="P45" i="11"/>
  <c r="L46" i="11"/>
  <c r="P46" i="11"/>
  <c r="O45" i="11"/>
  <c r="R45" i="11" s="1"/>
  <c r="O17" i="11"/>
  <c r="P15" i="11"/>
  <c r="P14" i="11"/>
  <c r="L20" i="11"/>
  <c r="N20" i="11"/>
  <c r="R20" i="11" s="1"/>
  <c r="O22" i="11"/>
  <c r="N16" i="11"/>
  <c r="O57" i="11"/>
  <c r="L16" i="11"/>
  <c r="Q51" i="11"/>
  <c r="Q15" i="11"/>
  <c r="L21" i="11"/>
  <c r="L58" i="11"/>
  <c r="P39" i="11"/>
  <c r="L57" i="11"/>
  <c r="O56" i="11"/>
  <c r="O41" i="11"/>
  <c r="N57" i="11"/>
  <c r="N56" i="11"/>
  <c r="P50" i="11"/>
  <c r="N47" i="11"/>
  <c r="Q59" i="11"/>
  <c r="Q57" i="11"/>
  <c r="L59" i="11"/>
  <c r="Q56" i="11"/>
  <c r="P58" i="11"/>
  <c r="Q23" i="11"/>
  <c r="N23" i="11"/>
  <c r="L23" i="11"/>
  <c r="Q47" i="11"/>
  <c r="L47" i="11"/>
  <c r="Q58" i="11"/>
  <c r="N59" i="11"/>
  <c r="P56" i="11"/>
  <c r="P51" i="11"/>
  <c r="O59" i="11"/>
  <c r="O58" i="11"/>
  <c r="P21" i="11"/>
  <c r="O40" i="11"/>
  <c r="L40" i="11"/>
  <c r="N39" i="11"/>
  <c r="N46" i="11"/>
  <c r="O46" i="11"/>
  <c r="P41" i="11"/>
  <c r="P40" i="11"/>
  <c r="L39" i="11"/>
  <c r="Q41" i="11"/>
  <c r="L50" i="11"/>
  <c r="O16" i="11"/>
  <c r="P16" i="11"/>
  <c r="O50" i="11"/>
  <c r="R50" i="11" s="1"/>
  <c r="N14" i="11"/>
  <c r="N21" i="11"/>
  <c r="O23" i="11"/>
  <c r="O39" i="11"/>
  <c r="L41" i="11"/>
  <c r="Q39" i="11"/>
  <c r="N41" i="11"/>
  <c r="N52" i="11"/>
  <c r="O52" i="11"/>
  <c r="L51" i="11"/>
  <c r="L53" i="11"/>
  <c r="P52" i="11"/>
  <c r="P53" i="11"/>
  <c r="N51" i="11"/>
  <c r="R51" i="11" s="1"/>
  <c r="L52" i="11"/>
  <c r="Q52" i="11"/>
  <c r="Q53" i="11"/>
  <c r="N53" i="11"/>
  <c r="O53" i="11"/>
  <c r="M26" i="11"/>
  <c r="R26" i="11"/>
  <c r="M20" i="11"/>
  <c r="M32" i="11"/>
  <c r="R29" i="11"/>
  <c r="M28" i="11"/>
  <c r="R28" i="11"/>
  <c r="R27" i="11"/>
  <c r="M29" i="11"/>
  <c r="M27" i="11"/>
  <c r="AO38" i="8"/>
  <c r="AO35" i="8"/>
  <c r="AO32" i="8"/>
  <c r="AO34" i="8"/>
  <c r="AO52" i="8"/>
  <c r="AO51" i="8"/>
  <c r="AO53" i="8"/>
  <c r="AO22" i="8"/>
  <c r="AO29" i="8"/>
  <c r="AO14" i="8"/>
  <c r="AO44" i="8"/>
  <c r="AO40" i="8"/>
  <c r="AO23" i="8"/>
  <c r="AO46" i="8"/>
  <c r="AO47" i="8"/>
  <c r="AO27" i="8"/>
  <c r="AO28" i="8"/>
  <c r="AO39" i="8"/>
  <c r="AO16" i="8"/>
  <c r="AO17" i="8"/>
  <c r="AO21" i="8"/>
  <c r="AO59" i="8"/>
  <c r="AO56" i="8"/>
  <c r="AO58" i="8"/>
  <c r="AO57" i="8"/>
  <c r="R34" i="11" l="1"/>
  <c r="R35" i="11"/>
  <c r="M35" i="11"/>
  <c r="R33" i="11"/>
  <c r="M33" i="11"/>
  <c r="M34" i="11"/>
  <c r="R40" i="11"/>
  <c r="M44" i="11"/>
  <c r="R38" i="11"/>
  <c r="M14" i="11"/>
  <c r="R58" i="11"/>
  <c r="R41" i="11"/>
  <c r="M38" i="11"/>
  <c r="M59" i="11"/>
  <c r="M57" i="11"/>
  <c r="M22" i="11"/>
  <c r="M46" i="11"/>
  <c r="R17" i="11"/>
  <c r="R47" i="11"/>
  <c r="R15" i="11"/>
  <c r="R14" i="11"/>
  <c r="M17" i="11"/>
  <c r="M21" i="11"/>
  <c r="M45" i="11"/>
  <c r="R22" i="11"/>
  <c r="M15" i="11"/>
  <c r="R21" i="11"/>
  <c r="R59" i="11"/>
  <c r="M47" i="11"/>
  <c r="R23" i="11"/>
  <c r="R46" i="11"/>
  <c r="R56" i="11"/>
  <c r="M39" i="11"/>
  <c r="R57" i="11"/>
  <c r="M23" i="11"/>
  <c r="M16" i="11"/>
  <c r="M56" i="11"/>
  <c r="M58" i="11"/>
  <c r="R16" i="11"/>
  <c r="M40" i="11"/>
  <c r="R39" i="11"/>
  <c r="M51" i="11"/>
  <c r="M53" i="11"/>
  <c r="M41" i="11"/>
  <c r="M50" i="11"/>
  <c r="M52" i="11"/>
  <c r="R52" i="11"/>
  <c r="R53" i="11"/>
  <c r="AB35" i="8"/>
  <c r="AB32" i="8"/>
  <c r="AB34" i="8"/>
  <c r="AB33" i="8"/>
  <c r="AB52" i="8"/>
  <c r="AB20" i="8"/>
  <c r="AB51" i="8"/>
  <c r="AB53" i="8"/>
  <c r="AB50" i="8"/>
  <c r="AB26" i="8"/>
  <c r="AB23" i="8"/>
  <c r="AB47" i="8"/>
  <c r="AB22" i="8"/>
  <c r="AB46" i="8"/>
  <c r="AB29" i="8"/>
  <c r="AB40" i="8"/>
  <c r="AB28" i="8"/>
  <c r="AB45" i="8"/>
  <c r="AB41" i="8"/>
  <c r="AB38" i="8"/>
  <c r="AB39" i="8"/>
  <c r="AB27" i="8"/>
  <c r="AB44" i="8"/>
  <c r="AB15" i="8"/>
  <c r="AB16" i="8"/>
  <c r="AB14" i="8"/>
  <c r="AB17" i="8"/>
  <c r="AB21" i="8"/>
  <c r="AB57" i="8"/>
  <c r="AB56" i="8"/>
  <c r="AB58" i="8"/>
  <c r="AB59" i="8"/>
  <c r="O51" i="8" l="1"/>
  <c r="R39" i="8"/>
  <c r="O27" i="8"/>
  <c r="R33" i="8"/>
  <c r="Q51" i="8"/>
  <c r="M36" i="8"/>
  <c r="O34" i="8"/>
  <c r="Q33" i="8"/>
  <c r="O33" i="8"/>
  <c r="P36" i="8"/>
  <c r="P33" i="8"/>
  <c r="O36" i="8"/>
  <c r="M33" i="8"/>
  <c r="AP32" i="8" s="1"/>
  <c r="E71" i="8" s="1"/>
  <c r="Q27" i="8"/>
  <c r="P34" i="8"/>
  <c r="Q36" i="8"/>
  <c r="M34" i="8"/>
  <c r="AP33" i="8" s="1"/>
  <c r="H69" i="8" s="1"/>
  <c r="R36" i="8"/>
  <c r="P21" i="8"/>
  <c r="R34" i="8"/>
  <c r="O35" i="8"/>
  <c r="P35" i="8"/>
  <c r="Q34" i="8"/>
  <c r="N34" i="8" s="1"/>
  <c r="R35" i="8"/>
  <c r="Q35" i="8"/>
  <c r="M35" i="8"/>
  <c r="O15" i="8"/>
  <c r="M21" i="8"/>
  <c r="AP20" i="8" s="1"/>
  <c r="E70" i="8" s="1"/>
  <c r="R15" i="8"/>
  <c r="Q39" i="8"/>
  <c r="R21" i="8"/>
  <c r="M27" i="8"/>
  <c r="AP26" i="8" s="1"/>
  <c r="E69" i="8" s="1"/>
  <c r="BT68" i="11" s="1"/>
  <c r="Q21" i="8"/>
  <c r="M28" i="8"/>
  <c r="AP27" i="8" s="1"/>
  <c r="H71" i="8" s="1"/>
  <c r="BU70" i="11" s="1"/>
  <c r="O21" i="8"/>
  <c r="S21" i="8" s="1"/>
  <c r="M23" i="8"/>
  <c r="M51" i="8"/>
  <c r="AP50" i="8" s="1"/>
  <c r="E73" i="8" s="1"/>
  <c r="O52" i="8"/>
  <c r="Q53" i="8"/>
  <c r="R52" i="8"/>
  <c r="O53" i="8"/>
  <c r="M54" i="8"/>
  <c r="Q23" i="8"/>
  <c r="O54" i="8"/>
  <c r="R53" i="8"/>
  <c r="Q54" i="8"/>
  <c r="M39" i="8"/>
  <c r="AP38" i="8" s="1"/>
  <c r="E72" i="8" s="1"/>
  <c r="P54" i="8"/>
  <c r="Q52" i="8"/>
  <c r="P53" i="8"/>
  <c r="M53" i="8"/>
  <c r="R54" i="8"/>
  <c r="O17" i="8"/>
  <c r="O41" i="8"/>
  <c r="P52" i="8"/>
  <c r="P51" i="8"/>
  <c r="R51" i="8"/>
  <c r="M52" i="8"/>
  <c r="AP51" i="8" s="1"/>
  <c r="H75" i="8" s="1"/>
  <c r="BU74" i="11" s="1"/>
  <c r="O39" i="8"/>
  <c r="R41" i="8"/>
  <c r="O46" i="8"/>
  <c r="M15" i="8"/>
  <c r="AP14" i="8" s="1"/>
  <c r="E68" i="8" s="1"/>
  <c r="P28" i="8"/>
  <c r="O29" i="8"/>
  <c r="Q15" i="8"/>
  <c r="R27" i="8"/>
  <c r="R28" i="8"/>
  <c r="Q29" i="8"/>
  <c r="Q28" i="8"/>
  <c r="M17" i="8"/>
  <c r="P15" i="8"/>
  <c r="Q17" i="8"/>
  <c r="P39" i="8"/>
  <c r="P27" i="8"/>
  <c r="O28" i="8"/>
  <c r="S28" i="8" s="1"/>
  <c r="P18" i="8"/>
  <c r="M48" i="8"/>
  <c r="O42" i="8"/>
  <c r="P17" i="8"/>
  <c r="R17" i="8"/>
  <c r="Q16" i="8"/>
  <c r="Q41" i="8"/>
  <c r="M29" i="8"/>
  <c r="R23" i="8"/>
  <c r="M24" i="8"/>
  <c r="M40" i="8"/>
  <c r="AP39" i="8" s="1"/>
  <c r="H74" i="8" s="1"/>
  <c r="BU73" i="11" s="1"/>
  <c r="R40" i="8"/>
  <c r="P22" i="8"/>
  <c r="M16" i="8"/>
  <c r="AP15" i="8" s="1"/>
  <c r="H70" i="8" s="1"/>
  <c r="BU69" i="11" s="1"/>
  <c r="P30" i="8"/>
  <c r="M18" i="8"/>
  <c r="R42" i="8"/>
  <c r="Q47" i="8"/>
  <c r="O30" i="8"/>
  <c r="S30" i="8" s="1"/>
  <c r="R48" i="8"/>
  <c r="M45" i="8"/>
  <c r="AP44" i="8" s="1"/>
  <c r="E74" i="8" s="1"/>
  <c r="M22" i="8"/>
  <c r="AP21" i="8" s="1"/>
  <c r="H68" i="8" s="1"/>
  <c r="BU67" i="11" s="1"/>
  <c r="R16" i="8"/>
  <c r="M41" i="8"/>
  <c r="M42" i="8"/>
  <c r="Q22" i="8"/>
  <c r="P16" i="8"/>
  <c r="Q40" i="8"/>
  <c r="O40" i="8"/>
  <c r="P48" i="8"/>
  <c r="R29" i="8"/>
  <c r="O45" i="8"/>
  <c r="R30" i="8"/>
  <c r="Q30" i="8"/>
  <c r="P46" i="8"/>
  <c r="O47" i="8"/>
  <c r="Q48" i="8"/>
  <c r="Q45" i="8"/>
  <c r="R46" i="8"/>
  <c r="R18" i="8"/>
  <c r="O18" i="8"/>
  <c r="Q42" i="8"/>
  <c r="Q46" i="8"/>
  <c r="M46" i="8"/>
  <c r="AP45" i="8" s="1"/>
  <c r="H72" i="8" s="1"/>
  <c r="BU71" i="11" s="1"/>
  <c r="R47" i="8"/>
  <c r="R45" i="8"/>
  <c r="M47" i="8"/>
  <c r="Q18" i="8"/>
  <c r="R22" i="8"/>
  <c r="P42" i="8"/>
  <c r="P40" i="8"/>
  <c r="P41" i="8"/>
  <c r="O23" i="8"/>
  <c r="O48" i="8"/>
  <c r="P45" i="8"/>
  <c r="P29" i="8"/>
  <c r="P47" i="8"/>
  <c r="M30" i="8"/>
  <c r="V77" i="8"/>
  <c r="W77" i="8" s="1"/>
  <c r="H86" i="8" s="1"/>
  <c r="V76" i="8"/>
  <c r="W76" i="8" s="1"/>
  <c r="E86" i="8" s="1"/>
  <c r="O16" i="8"/>
  <c r="O22" i="8"/>
  <c r="P24" i="8"/>
  <c r="O24" i="8"/>
  <c r="R24" i="8"/>
  <c r="P23" i="8"/>
  <c r="Q24" i="8"/>
  <c r="X83" i="8"/>
  <c r="AA83" i="8" s="1"/>
  <c r="E91" i="8" s="1"/>
  <c r="BT90" i="11" s="1"/>
  <c r="V83" i="8"/>
  <c r="W83" i="8" s="1"/>
  <c r="E95" i="8" s="1"/>
  <c r="Q57" i="8"/>
  <c r="Q59" i="8"/>
  <c r="P59" i="8"/>
  <c r="M59" i="8"/>
  <c r="O60" i="8"/>
  <c r="Q60" i="8"/>
  <c r="R59" i="8"/>
  <c r="M60" i="8"/>
  <c r="P58" i="8"/>
  <c r="Q58" i="8"/>
  <c r="P60" i="8"/>
  <c r="R58" i="8"/>
  <c r="P57" i="8"/>
  <c r="R57" i="8"/>
  <c r="O58" i="8"/>
  <c r="M58" i="8"/>
  <c r="AP57" i="8" s="1"/>
  <c r="H73" i="8" s="1"/>
  <c r="BU72" i="11" s="1"/>
  <c r="O57" i="8"/>
  <c r="R60" i="8"/>
  <c r="M57" i="8"/>
  <c r="AP56" i="8" s="1"/>
  <c r="E75" i="8" s="1"/>
  <c r="O59" i="8"/>
  <c r="BY85" i="11" l="1"/>
  <c r="BT94" i="11"/>
  <c r="V71" i="8"/>
  <c r="W71" i="8" s="1"/>
  <c r="E82" i="8" s="1"/>
  <c r="BT73" i="11"/>
  <c r="V66" i="8"/>
  <c r="W66" i="8" s="1"/>
  <c r="E81" i="8" s="1"/>
  <c r="BT69" i="11"/>
  <c r="V72" i="8"/>
  <c r="W72" i="8" s="1"/>
  <c r="H82" i="8" s="1"/>
  <c r="BT74" i="11"/>
  <c r="BY78" i="11"/>
  <c r="BT85" i="11"/>
  <c r="V69" i="8"/>
  <c r="W69" i="8" s="1"/>
  <c r="E80" i="8" s="1"/>
  <c r="BT71" i="11"/>
  <c r="BY79" i="11"/>
  <c r="BU85" i="11"/>
  <c r="V64" i="8"/>
  <c r="W64" i="8" s="1"/>
  <c r="E79" i="8" s="1"/>
  <c r="BT67" i="11"/>
  <c r="V70" i="8"/>
  <c r="W70" i="8" s="1"/>
  <c r="H80" i="8" s="1"/>
  <c r="BT72" i="11"/>
  <c r="V65" i="8"/>
  <c r="W65" i="8" s="1"/>
  <c r="H79" i="8" s="1"/>
  <c r="BU68" i="11"/>
  <c r="CC69" i="11" s="1"/>
  <c r="V68" i="8"/>
  <c r="W68" i="8" s="1"/>
  <c r="H81" i="8" s="1"/>
  <c r="BT70" i="11"/>
  <c r="S34" i="8"/>
  <c r="S51" i="8"/>
  <c r="N27" i="8"/>
  <c r="S36" i="8"/>
  <c r="N33" i="8"/>
  <c r="S33" i="8"/>
  <c r="S45" i="8"/>
  <c r="N36" i="8"/>
  <c r="N51" i="8"/>
  <c r="N35" i="8"/>
  <c r="S27" i="8"/>
  <c r="S35" i="8"/>
  <c r="N21" i="8"/>
  <c r="S17" i="8"/>
  <c r="S54" i="8"/>
  <c r="N15" i="8"/>
  <c r="N52" i="8"/>
  <c r="N54" i="8"/>
  <c r="S29" i="8"/>
  <c r="S42" i="8"/>
  <c r="S16" i="8"/>
  <c r="N53" i="8"/>
  <c r="S52" i="8"/>
  <c r="S15" i="8"/>
  <c r="S53" i="8"/>
  <c r="N28" i="8"/>
  <c r="S41" i="8"/>
  <c r="N39" i="8"/>
  <c r="S46" i="8"/>
  <c r="N46" i="8"/>
  <c r="N17" i="8"/>
  <c r="N16" i="8"/>
  <c r="S18" i="8"/>
  <c r="S39" i="8"/>
  <c r="N47" i="8"/>
  <c r="S23" i="8"/>
  <c r="N42" i="8"/>
  <c r="S48" i="8"/>
  <c r="N45" i="8"/>
  <c r="N18" i="8"/>
  <c r="N29" i="8"/>
  <c r="N22" i="8"/>
  <c r="N41" i="8"/>
  <c r="N48" i="8"/>
  <c r="N23" i="8"/>
  <c r="N40" i="8"/>
  <c r="N30" i="8"/>
  <c r="S47" i="8"/>
  <c r="S40" i="8"/>
  <c r="S22" i="8"/>
  <c r="N24" i="8"/>
  <c r="S24" i="8"/>
  <c r="V79" i="8"/>
  <c r="W79" i="8" s="1"/>
  <c r="H87" i="8" s="1"/>
  <c r="V78" i="8"/>
  <c r="W78" i="8" s="1"/>
  <c r="E87" i="8" s="1"/>
  <c r="N59" i="8"/>
  <c r="S59" i="8"/>
  <c r="N57" i="8"/>
  <c r="S57" i="8"/>
  <c r="S58" i="8"/>
  <c r="N58" i="8"/>
  <c r="S60" i="8"/>
  <c r="N60" i="8"/>
  <c r="BU86" i="11" l="1"/>
  <c r="BY81" i="11"/>
  <c r="BX67" i="11"/>
  <c r="CC68" i="11"/>
  <c r="BX71" i="11"/>
  <c r="CC72" i="11"/>
  <c r="BX69" i="11"/>
  <c r="CC70" i="11"/>
  <c r="BX73" i="11"/>
  <c r="CC74" i="11"/>
  <c r="BU78" i="11"/>
  <c r="BY68" i="11"/>
  <c r="BY67" i="11"/>
  <c r="BT78" i="11"/>
  <c r="BY71" i="11"/>
  <c r="BT79" i="11"/>
  <c r="BT80" i="11"/>
  <c r="BY69" i="11"/>
  <c r="BY73" i="11"/>
  <c r="BT81" i="11"/>
  <c r="BX70" i="11"/>
  <c r="CC71" i="11"/>
  <c r="BX72" i="11"/>
  <c r="CC73" i="11"/>
  <c r="BX85" i="11"/>
  <c r="CC86" i="11"/>
  <c r="BX74" i="11"/>
  <c r="CC75" i="11"/>
  <c r="BX68" i="11"/>
  <c r="BY80" i="11"/>
  <c r="BT86" i="11"/>
  <c r="BY70" i="11"/>
  <c r="BU80" i="11"/>
  <c r="BU79" i="11"/>
  <c r="BY72" i="11"/>
  <c r="BU81" i="11"/>
  <c r="BY74" i="11"/>
  <c r="V84" i="8"/>
  <c r="W84" i="8" s="1"/>
  <c r="H95" i="8" s="1"/>
  <c r="X84" i="8"/>
  <c r="AA84" i="8" s="1"/>
  <c r="H91" i="8" s="1"/>
  <c r="CA74" i="11" l="1"/>
  <c r="CE75" i="11" s="1"/>
  <c r="BZ74" i="11"/>
  <c r="CD75" i="11" s="1"/>
  <c r="BZ72" i="11"/>
  <c r="CD73" i="11" s="1"/>
  <c r="CA72" i="11"/>
  <c r="CE73" i="11" s="1"/>
  <c r="CA69" i="11"/>
  <c r="CE70" i="11" s="1"/>
  <c r="BZ69" i="11"/>
  <c r="CD70" i="11" s="1"/>
  <c r="BZ67" i="11"/>
  <c r="CD68" i="11" s="1"/>
  <c r="CA67" i="11"/>
  <c r="CE68" i="11" s="1"/>
  <c r="CC79" i="11"/>
  <c r="BX78" i="11"/>
  <c r="W88" i="8"/>
  <c r="BU90" i="11"/>
  <c r="CC87" i="11"/>
  <c r="BX86" i="11"/>
  <c r="BZ68" i="11"/>
  <c r="CD69" i="11" s="1"/>
  <c r="CA68" i="11"/>
  <c r="CE69" i="11" s="1"/>
  <c r="CA85" i="11"/>
  <c r="CE86" i="11" s="1"/>
  <c r="BZ85" i="11"/>
  <c r="CD86" i="11" s="1"/>
  <c r="CA70" i="11"/>
  <c r="CE71" i="11" s="1"/>
  <c r="BZ70" i="11"/>
  <c r="CD71" i="11" s="1"/>
  <c r="BX80" i="11"/>
  <c r="CC81" i="11"/>
  <c r="CA73" i="11"/>
  <c r="CE74" i="11" s="1"/>
  <c r="BZ73" i="11"/>
  <c r="CD74" i="11" s="1"/>
  <c r="BZ71" i="11"/>
  <c r="CD72" i="11" s="1"/>
  <c r="CA71" i="11"/>
  <c r="CE72" i="11" s="1"/>
  <c r="V92" i="8"/>
  <c r="F97" i="8" s="1"/>
  <c r="BY94" i="11" s="1"/>
  <c r="BU94" i="11"/>
  <c r="BY86" i="11"/>
  <c r="BX81" i="11"/>
  <c r="CC82" i="11"/>
  <c r="BX79" i="11"/>
  <c r="CC80" i="11"/>
  <c r="L69" i="11" l="1"/>
  <c r="L74" i="11"/>
  <c r="L73" i="11"/>
  <c r="L70" i="11"/>
  <c r="W92" i="8"/>
  <c r="L72" i="11"/>
  <c r="L67" i="11"/>
  <c r="L71" i="11"/>
  <c r="L85" i="11"/>
  <c r="CA80" i="11"/>
  <c r="CE81" i="11" s="1"/>
  <c r="BZ80" i="11"/>
  <c r="CD81" i="11" s="1"/>
  <c r="BZ78" i="11"/>
  <c r="CD79" i="11" s="1"/>
  <c r="CA78" i="11"/>
  <c r="CE79" i="11" s="1"/>
  <c r="BZ79" i="11"/>
  <c r="CD80" i="11" s="1"/>
  <c r="CA79" i="11"/>
  <c r="CE80" i="11" s="1"/>
  <c r="BX94" i="11"/>
  <c r="CC95" i="11"/>
  <c r="BX90" i="11"/>
  <c r="CC91" i="11"/>
  <c r="L68" i="11"/>
  <c r="CA81" i="11"/>
  <c r="CE82" i="11" s="1"/>
  <c r="BZ81" i="11"/>
  <c r="CD82" i="11" s="1"/>
  <c r="CA86" i="11"/>
  <c r="CE87" i="11" s="1"/>
  <c r="BZ86" i="11"/>
  <c r="CD87" i="11" s="1"/>
  <c r="L78" i="11" l="1"/>
  <c r="L81" i="11"/>
  <c r="L79" i="11"/>
  <c r="L80" i="11"/>
  <c r="L86" i="11"/>
  <c r="CA94" i="11"/>
  <c r="CE95" i="11" s="1"/>
  <c r="BZ94" i="11"/>
  <c r="CF95" i="11" s="1"/>
  <c r="CD95" i="11"/>
  <c r="BZ90" i="11"/>
  <c r="CF91" i="11" s="1"/>
  <c r="CD91" i="11"/>
  <c r="CA90" i="11"/>
  <c r="CE91" i="11" s="1"/>
  <c r="L94" i="11" l="1"/>
  <c r="L90" i="11"/>
  <c r="C8" i="11" l="1"/>
</calcChain>
</file>

<file path=xl/sharedStrings.xml><?xml version="1.0" encoding="utf-8"?>
<sst xmlns="http://schemas.openxmlformats.org/spreadsheetml/2006/main" count="5105" uniqueCount="2823">
  <si>
    <t>Za treće mjesto</t>
  </si>
  <si>
    <t>UT</t>
  </si>
  <si>
    <t>NER.</t>
  </si>
  <si>
    <t>GD - GP</t>
  </si>
  <si>
    <t>BOD</t>
  </si>
  <si>
    <t>Ned</t>
  </si>
  <si>
    <t>Pon</t>
  </si>
  <si>
    <t>Uto</t>
  </si>
  <si>
    <t>Sre</t>
  </si>
  <si>
    <t>Čet</t>
  </si>
  <si>
    <t>Pet</t>
  </si>
  <si>
    <t>Sub</t>
  </si>
  <si>
    <t>Avg</t>
  </si>
  <si>
    <t>Reprezentacija</t>
  </si>
  <si>
    <t>Meksiko</t>
  </si>
  <si>
    <t>Urugvaj</t>
  </si>
  <si>
    <t>Francuska</t>
  </si>
  <si>
    <t>Nigerija</t>
  </si>
  <si>
    <t>Grčka</t>
  </si>
  <si>
    <t>Engleska</t>
  </si>
  <si>
    <t>SAD</t>
  </si>
  <si>
    <t>Alžir</t>
  </si>
  <si>
    <t>Njemačka</t>
  </si>
  <si>
    <t>Australija</t>
  </si>
  <si>
    <t>Holandija</t>
  </si>
  <si>
    <t>Italija</t>
  </si>
  <si>
    <t>Španija</t>
  </si>
  <si>
    <t>P49</t>
  </si>
  <si>
    <t>P50</t>
  </si>
  <si>
    <t>P51</t>
  </si>
  <si>
    <t>P52</t>
  </si>
  <si>
    <t>P53</t>
  </si>
  <si>
    <t>P54</t>
  </si>
  <si>
    <t>P55</t>
  </si>
  <si>
    <t>P56</t>
  </si>
  <si>
    <t>P57</t>
  </si>
  <si>
    <t>P58</t>
  </si>
  <si>
    <t>P59</t>
  </si>
  <si>
    <t>P60</t>
  </si>
  <si>
    <t>I61</t>
  </si>
  <si>
    <t>I62</t>
  </si>
  <si>
    <t>Swedish</t>
  </si>
  <si>
    <t>Gruppspel</t>
  </si>
  <si>
    <t>Kvartsfinal</t>
  </si>
  <si>
    <t>Semifinal</t>
  </si>
  <si>
    <t>Grupp</t>
  </si>
  <si>
    <t>Sp</t>
  </si>
  <si>
    <t>F</t>
  </si>
  <si>
    <t>GM – IM</t>
  </si>
  <si>
    <t>Sön</t>
  </si>
  <si>
    <t>Mån</t>
  </si>
  <si>
    <t>Tis</t>
  </si>
  <si>
    <t>Lör</t>
  </si>
  <si>
    <t>jan</t>
  </si>
  <si>
    <t>mar</t>
  </si>
  <si>
    <t>apr</t>
  </si>
  <si>
    <t>maj</t>
  </si>
  <si>
    <t>jun</t>
  </si>
  <si>
    <t>jul</t>
  </si>
  <si>
    <t>sep</t>
  </si>
  <si>
    <t>okt</t>
  </si>
  <si>
    <t>nov</t>
  </si>
  <si>
    <t>dec</t>
  </si>
  <si>
    <t>Lag</t>
  </si>
  <si>
    <t>Frankrike</t>
  </si>
  <si>
    <t>Grekland</t>
  </si>
  <si>
    <t>Elfenbenskusten</t>
  </si>
  <si>
    <t>Chinese (Traditional)</t>
  </si>
  <si>
    <t>Chinese (Simplified)</t>
  </si>
  <si>
    <t>小组赛阶段</t>
  </si>
  <si>
    <t>16强赛</t>
  </si>
  <si>
    <t>8强赛</t>
  </si>
  <si>
    <t>半决赛</t>
  </si>
  <si>
    <t>季军赛</t>
  </si>
  <si>
    <t>总决赛</t>
  </si>
  <si>
    <t>小组</t>
  </si>
  <si>
    <t>场次</t>
  </si>
  <si>
    <t>胜</t>
  </si>
  <si>
    <t>平</t>
  </si>
  <si>
    <t>负</t>
  </si>
  <si>
    <t>得失球</t>
  </si>
  <si>
    <t>积分</t>
  </si>
  <si>
    <t>周日</t>
  </si>
  <si>
    <t>周一</t>
  </si>
  <si>
    <t>周二</t>
  </si>
  <si>
    <t>周三</t>
  </si>
  <si>
    <t>周四</t>
  </si>
  <si>
    <t>周五</t>
  </si>
  <si>
    <t>周六</t>
  </si>
  <si>
    <t>一月</t>
  </si>
  <si>
    <t>二月</t>
  </si>
  <si>
    <t>三月</t>
  </si>
  <si>
    <t>四月</t>
  </si>
  <si>
    <t>五月</t>
  </si>
  <si>
    <t>六月</t>
  </si>
  <si>
    <t>七月</t>
  </si>
  <si>
    <t>八月</t>
  </si>
  <si>
    <t>九月</t>
  </si>
  <si>
    <t>十月</t>
  </si>
  <si>
    <t>十一月</t>
  </si>
  <si>
    <t>十二月</t>
  </si>
  <si>
    <t>球队</t>
  </si>
  <si>
    <t>乌拉圭</t>
  </si>
  <si>
    <t>法国</t>
  </si>
  <si>
    <t>尼日利亚</t>
  </si>
  <si>
    <t>韩国</t>
  </si>
  <si>
    <t>希腊</t>
  </si>
  <si>
    <t>美国</t>
  </si>
  <si>
    <t>阿尔及利亚</t>
  </si>
  <si>
    <t>德国</t>
  </si>
  <si>
    <t>澳大利亚</t>
  </si>
  <si>
    <t>加纳</t>
  </si>
  <si>
    <t>荷兰</t>
  </si>
  <si>
    <t>喀麦隆</t>
  </si>
  <si>
    <t>科特迪瓦</t>
  </si>
  <si>
    <t>49胜者</t>
  </si>
  <si>
    <t>50胜者</t>
  </si>
  <si>
    <t>51胜者</t>
  </si>
  <si>
    <t>52胜者</t>
  </si>
  <si>
    <t>53胜者</t>
  </si>
  <si>
    <t>54胜者</t>
  </si>
  <si>
    <t>55胜者</t>
  </si>
  <si>
    <t>56胜者</t>
  </si>
  <si>
    <t>57胜者</t>
  </si>
  <si>
    <t>58胜者</t>
  </si>
  <si>
    <t>59胜者</t>
  </si>
  <si>
    <t>60胜者</t>
  </si>
  <si>
    <t>61胜者</t>
  </si>
  <si>
    <t>62胜者</t>
  </si>
  <si>
    <t>61负者</t>
  </si>
  <si>
    <t>62负者</t>
  </si>
  <si>
    <t>Polish</t>
  </si>
  <si>
    <t>Faza Grupowa</t>
  </si>
  <si>
    <t>1/8 Finału</t>
  </si>
  <si>
    <t>Ćwierćfinały</t>
  </si>
  <si>
    <t>Półfinały</t>
  </si>
  <si>
    <t>Mecz o trzecie miejsce</t>
  </si>
  <si>
    <t>Finał</t>
  </si>
  <si>
    <t>Z - S</t>
  </si>
  <si>
    <t>Pkt</t>
  </si>
  <si>
    <t>Nd</t>
  </si>
  <si>
    <t>Pn</t>
  </si>
  <si>
    <t>Wt</t>
  </si>
  <si>
    <t>Śr</t>
  </si>
  <si>
    <t>Cz</t>
  </si>
  <si>
    <t>Pt</t>
  </si>
  <si>
    <t>Sty</t>
  </si>
  <si>
    <t>Lut</t>
  </si>
  <si>
    <t>Kwi</t>
  </si>
  <si>
    <t>Cze</t>
  </si>
  <si>
    <t>Lip</t>
  </si>
  <si>
    <t>Się</t>
  </si>
  <si>
    <t>Wrz</t>
  </si>
  <si>
    <t>Paź</t>
  </si>
  <si>
    <t>Lis</t>
  </si>
  <si>
    <t>Gru</t>
  </si>
  <si>
    <t>Drużyna</t>
  </si>
  <si>
    <t>Meksyk</t>
  </si>
  <si>
    <t>Urugwaj</t>
  </si>
  <si>
    <t>Francja</t>
  </si>
  <si>
    <t>Argentyna</t>
  </si>
  <si>
    <t>Korea Południowa</t>
  </si>
  <si>
    <t>Grecja</t>
  </si>
  <si>
    <t>Algieria</t>
  </si>
  <si>
    <t>Niemcy</t>
  </si>
  <si>
    <t>Włochy</t>
  </si>
  <si>
    <t>Brazylia</t>
  </si>
  <si>
    <t>Wybrzeże Kości Słoniowej</t>
  </si>
  <si>
    <t>Hiszpania</t>
  </si>
  <si>
    <t>Szwajcaria</t>
  </si>
  <si>
    <t>Itali</t>
  </si>
  <si>
    <t>รอบแรก</t>
  </si>
  <si>
    <t>รอบสอง</t>
  </si>
  <si>
    <t>รอบก่อนรองชนะเลิศ</t>
  </si>
  <si>
    <t>รอบรองชนะเลิศ</t>
  </si>
  <si>
    <t>รอบชิงที่ 3</t>
  </si>
  <si>
    <t>รอบชิงชนะเลิศ</t>
  </si>
  <si>
    <t>สาย</t>
  </si>
  <si>
    <t>แข่ง</t>
  </si>
  <si>
    <t>ชนะ</t>
  </si>
  <si>
    <t>เสมอ</t>
  </si>
  <si>
    <t>แพ้</t>
  </si>
  <si>
    <t>ได้ - เสีย</t>
  </si>
  <si>
    <t>คะแนน</t>
  </si>
  <si>
    <t>อาทิตย์</t>
  </si>
  <si>
    <t>จันทร์</t>
  </si>
  <si>
    <t>อังคาร</t>
  </si>
  <si>
    <t>พุธ</t>
  </si>
  <si>
    <t>พฤหัส</t>
  </si>
  <si>
    <t>ศุกร์</t>
  </si>
  <si>
    <t>เสาร์</t>
  </si>
  <si>
    <t>มกราคม</t>
  </si>
  <si>
    <t>กุมภาพันธ์</t>
  </si>
  <si>
    <t>มีนาคม</t>
  </si>
  <si>
    <t>เมษายน</t>
  </si>
  <si>
    <t>พฤษภาคม</t>
  </si>
  <si>
    <t>มิถุนายน</t>
  </si>
  <si>
    <t>กรกฎาคม</t>
  </si>
  <si>
    <t>สิงหาคม</t>
  </si>
  <si>
    <t>กันยายน</t>
  </si>
  <si>
    <t>ตุลาคม</t>
  </si>
  <si>
    <t>พฤศจิกายน</t>
  </si>
  <si>
    <t>ธันวาคม</t>
  </si>
  <si>
    <t>ทึม</t>
  </si>
  <si>
    <t>ฝรั่งเศส</t>
  </si>
  <si>
    <t>อาร์เจนตินา</t>
  </si>
  <si>
    <t>ไนจีเรีย</t>
  </si>
  <si>
    <t>เกาหลีใต้</t>
  </si>
  <si>
    <t>อังกฤษ</t>
  </si>
  <si>
    <t>ออสเตรเลีย</t>
  </si>
  <si>
    <t>กานา</t>
  </si>
  <si>
    <t>ญี่ปุ่น</t>
  </si>
  <si>
    <t>แคเมอรูน</t>
  </si>
  <si>
    <t>อิตาลี</t>
  </si>
  <si>
    <t>บราซิล</t>
  </si>
  <si>
    <t>โปรตุเกส</t>
  </si>
  <si>
    <t>สเปน</t>
  </si>
  <si>
    <t>ฮอนดูรัส</t>
  </si>
  <si>
    <t>ชิลี</t>
  </si>
  <si>
    <t>ที่ 1 สาย A</t>
  </si>
  <si>
    <t>ที่ 2 สาย A</t>
  </si>
  <si>
    <t>ที่ 1 สาย B</t>
  </si>
  <si>
    <t>ที่ 2 สาย B</t>
  </si>
  <si>
    <t>ที่ 1 สาย C</t>
  </si>
  <si>
    <t>ที่ 2 สาย C</t>
  </si>
  <si>
    <t>ที่ 1 สาย D</t>
  </si>
  <si>
    <t>ที่ 2 สาย D</t>
  </si>
  <si>
    <t>ที่ 1 สาย E</t>
  </si>
  <si>
    <t>ที่ 2 สาย E</t>
  </si>
  <si>
    <t>ที่ 1 สาย F</t>
  </si>
  <si>
    <t>ที่ 2 สาย F</t>
  </si>
  <si>
    <t>ที่ 1 สาย G</t>
  </si>
  <si>
    <t>ที่ 2 สาย G</t>
  </si>
  <si>
    <t>ที่ 1 สาย H</t>
  </si>
  <si>
    <t>ที่ 2 สาย H</t>
  </si>
  <si>
    <t>ผู้ชนะนัดที่ 49</t>
  </si>
  <si>
    <t>ผู้ชนะนัดที่ 50</t>
  </si>
  <si>
    <t>ผู้ชนะนัดที่ 51</t>
  </si>
  <si>
    <t>ผู้ชนะนัดที่ 52</t>
  </si>
  <si>
    <t>ผู้ชนะนัดที่ 53</t>
  </si>
  <si>
    <t>ผู้ชนะนัดที่ 54</t>
  </si>
  <si>
    <t>ผู้ชนะนัดที่ 55</t>
  </si>
  <si>
    <t>ผู้ชนะนัดที่ 56</t>
  </si>
  <si>
    <t>ผู้ชนะนัดที่ 57</t>
  </si>
  <si>
    <t>ผู้ชนะนัดที่ 58</t>
  </si>
  <si>
    <t>ผู้ชนะนัดที่ 59</t>
  </si>
  <si>
    <t>ผู้ชนะนัดที่ 60</t>
  </si>
  <si>
    <t>ผู้ชนะนัดที่ 61</t>
  </si>
  <si>
    <t>ผู้ชนะนัดที่ 62</t>
  </si>
  <si>
    <t>ผู้แพ้นัดที่ 61</t>
  </si>
  <si>
    <t>ผู้แพ้นัดที่ 62</t>
  </si>
  <si>
    <t>Thai</t>
  </si>
  <si>
    <t>Slovak</t>
  </si>
  <si>
    <t>Skupinová fáza</t>
  </si>
  <si>
    <t>Osemfinále</t>
  </si>
  <si>
    <t>Štvrťfinále</t>
  </si>
  <si>
    <t xml:space="preserve">Zápas o 3. miesto </t>
  </si>
  <si>
    <t>GS-GI</t>
  </si>
  <si>
    <t>Ut</t>
  </si>
  <si>
    <t>Št</t>
  </si>
  <si>
    <t>Pi</t>
  </si>
  <si>
    <t>Mužstvo</t>
  </si>
  <si>
    <t>Uruguaj</t>
  </si>
  <si>
    <t>Anglicko</t>
  </si>
  <si>
    <t>Austrália</t>
  </si>
  <si>
    <t>Pobrežie Slonoviny</t>
  </si>
  <si>
    <t>Gruppespill</t>
  </si>
  <si>
    <t>8-dels finale</t>
  </si>
  <si>
    <t>Bronsefinale</t>
  </si>
  <si>
    <t>U</t>
  </si>
  <si>
    <t>Mål</t>
  </si>
  <si>
    <t>Tirs</t>
  </si>
  <si>
    <t>Tors</t>
  </si>
  <si>
    <t>Sør-Korea</t>
  </si>
  <si>
    <t>Hellas</t>
  </si>
  <si>
    <t>Algerie</t>
  </si>
  <si>
    <t>Sveits</t>
  </si>
  <si>
    <t>Norwegian</t>
  </si>
  <si>
    <t>Hebrew</t>
  </si>
  <si>
    <t>שלב הבתים</t>
  </si>
  <si>
    <t>שמינית גמר</t>
  </si>
  <si>
    <t>רבע גמר</t>
  </si>
  <si>
    <t>חצי גמר</t>
  </si>
  <si>
    <t>מקום 3-4</t>
  </si>
  <si>
    <t>גמר</t>
  </si>
  <si>
    <t>בית</t>
  </si>
  <si>
    <t>משחקים</t>
  </si>
  <si>
    <t>נצחונות</t>
  </si>
  <si>
    <t>תיקו</t>
  </si>
  <si>
    <t>הפסדים</t>
  </si>
  <si>
    <t>יחס שערים</t>
  </si>
  <si>
    <t>נקודות</t>
  </si>
  <si>
    <t>ראשון</t>
  </si>
  <si>
    <t>שני</t>
  </si>
  <si>
    <t>שלישי</t>
  </si>
  <si>
    <t>רביעי</t>
  </si>
  <si>
    <t>חמישי</t>
  </si>
  <si>
    <t>שישי</t>
  </si>
  <si>
    <t>שבת</t>
  </si>
  <si>
    <t>ינואר</t>
  </si>
  <si>
    <t>פברואר</t>
  </si>
  <si>
    <t>מרץ</t>
  </si>
  <si>
    <t>אפריל</t>
  </si>
  <si>
    <t>מאי</t>
  </si>
  <si>
    <t>יוני</t>
  </si>
  <si>
    <t>יולי</t>
  </si>
  <si>
    <t>אוגוסט</t>
  </si>
  <si>
    <t>ספטמבר</t>
  </si>
  <si>
    <t>אוקטובר</t>
  </si>
  <si>
    <t>נובמבר</t>
  </si>
  <si>
    <t>דצמבר</t>
  </si>
  <si>
    <t>קבוצה</t>
  </si>
  <si>
    <t>מקסיקו</t>
  </si>
  <si>
    <t>צרפת</t>
  </si>
  <si>
    <t>ארגנטינה</t>
  </si>
  <si>
    <t>ניגריה</t>
  </si>
  <si>
    <t>אנגליה</t>
  </si>
  <si>
    <t>אלג'יריה</t>
  </si>
  <si>
    <t>גרמניה</t>
  </si>
  <si>
    <t>אוסטרליה</t>
  </si>
  <si>
    <t>גאנה</t>
  </si>
  <si>
    <t>הולנד</t>
  </si>
  <si>
    <t>יפן</t>
  </si>
  <si>
    <t>קמרון</t>
  </si>
  <si>
    <t>איטליה</t>
  </si>
  <si>
    <t>ברזיל</t>
  </si>
  <si>
    <t>פורטוגל</t>
  </si>
  <si>
    <t>ספרד</t>
  </si>
  <si>
    <t>הונדורס</t>
  </si>
  <si>
    <t>צ'ילה</t>
  </si>
  <si>
    <t>Finalas</t>
  </si>
  <si>
    <t>Urugvajus</t>
  </si>
  <si>
    <t>Prancūzija</t>
  </si>
  <si>
    <t>Graikija</t>
  </si>
  <si>
    <t>Anglija</t>
  </si>
  <si>
    <t>Alžyras</t>
  </si>
  <si>
    <t>Vokietija</t>
  </si>
  <si>
    <t>Japonija</t>
  </si>
  <si>
    <t>Kamerūnas</t>
  </si>
  <si>
    <t>Brazilija</t>
  </si>
  <si>
    <t>Dramblio Kaulo Krantas</t>
  </si>
  <si>
    <t>Portugalija</t>
  </si>
  <si>
    <t>Ispanija</t>
  </si>
  <si>
    <t>Šveicarija</t>
  </si>
  <si>
    <t>Čilė</t>
  </si>
  <si>
    <t>Lithuanian</t>
  </si>
  <si>
    <t>Grupės Etapas</t>
  </si>
  <si>
    <t>16-tuko Raundas</t>
  </si>
  <si>
    <t>Ketvirtfinaliai</t>
  </si>
  <si>
    <t>Pusfinaliai</t>
  </si>
  <si>
    <t>Rungtynės dėl Trečios Vietos</t>
  </si>
  <si>
    <t>Grupė</t>
  </si>
  <si>
    <t>Žst</t>
  </si>
  <si>
    <t>Lyg</t>
  </si>
  <si>
    <t>Įm - Pr</t>
  </si>
  <si>
    <t>Tšk</t>
  </si>
  <si>
    <t>Sekm</t>
  </si>
  <si>
    <t>Pirm</t>
  </si>
  <si>
    <t>Antr</t>
  </si>
  <si>
    <t>Treč</t>
  </si>
  <si>
    <t>Ketv</t>
  </si>
  <si>
    <t>Penk</t>
  </si>
  <si>
    <t>Šešt</t>
  </si>
  <si>
    <t>Saus</t>
  </si>
  <si>
    <t>Kov</t>
  </si>
  <si>
    <t>Bal</t>
  </si>
  <si>
    <t>Geg</t>
  </si>
  <si>
    <t>Birž</t>
  </si>
  <si>
    <t>Lie</t>
  </si>
  <si>
    <t>Rugp</t>
  </si>
  <si>
    <t>Rugs</t>
  </si>
  <si>
    <t>Spa</t>
  </si>
  <si>
    <t>Lapk</t>
  </si>
  <si>
    <t>Gruo</t>
  </si>
  <si>
    <t>Korėjos Respublika</t>
  </si>
  <si>
    <t>JAV</t>
  </si>
  <si>
    <t>Nyderlandai</t>
  </si>
  <si>
    <t>L49</t>
  </si>
  <si>
    <t>L50</t>
  </si>
  <si>
    <t>L51</t>
  </si>
  <si>
    <t>L52</t>
  </si>
  <si>
    <t>L53</t>
  </si>
  <si>
    <t>L54</t>
  </si>
  <si>
    <t>L55</t>
  </si>
  <si>
    <t>L56</t>
  </si>
  <si>
    <t>L57</t>
  </si>
  <si>
    <t>L58</t>
  </si>
  <si>
    <t>L59</t>
  </si>
  <si>
    <t>L60</t>
  </si>
  <si>
    <t>الدور الأول</t>
  </si>
  <si>
    <t>دور الستة عشر</t>
  </si>
  <si>
    <t>دور الربع نهائي</t>
  </si>
  <si>
    <t>دور النصف نهائي</t>
  </si>
  <si>
    <t>تحديد المركزين الثالث والرابع</t>
  </si>
  <si>
    <t>المباراة النهائية</t>
  </si>
  <si>
    <t>عليه - له</t>
  </si>
  <si>
    <t>الأربعاء</t>
  </si>
  <si>
    <t>كانون ثاني</t>
  </si>
  <si>
    <t>شباط</t>
  </si>
  <si>
    <t>آذار</t>
  </si>
  <si>
    <t>نيسان</t>
  </si>
  <si>
    <t>أياد</t>
  </si>
  <si>
    <t>حزيران</t>
  </si>
  <si>
    <t>تموز</t>
  </si>
  <si>
    <t>آب</t>
  </si>
  <si>
    <t>أيلول</t>
  </si>
  <si>
    <t>تشرين أول</t>
  </si>
  <si>
    <t>تشرين ثاني</t>
  </si>
  <si>
    <t>كانون أول</t>
  </si>
  <si>
    <t>المنتخب</t>
  </si>
  <si>
    <t>إيطاليا</t>
  </si>
  <si>
    <t>تشيلي</t>
  </si>
  <si>
    <t>Fase a gironi</t>
  </si>
  <si>
    <t>Ottavi di finale</t>
  </si>
  <si>
    <t>Quarti di finale</t>
  </si>
  <si>
    <t>Finale 3°- 4° posto</t>
  </si>
  <si>
    <t>GF - GS</t>
  </si>
  <si>
    <t>Slovenian</t>
  </si>
  <si>
    <t>Skupinski del</t>
  </si>
  <si>
    <t>Osminafinala</t>
  </si>
  <si>
    <t>Četrtfinale</t>
  </si>
  <si>
    <t>Polfinale</t>
  </si>
  <si>
    <t>Za tretje mesto</t>
  </si>
  <si>
    <t>Sob</t>
  </si>
  <si>
    <t>Moštvo</t>
  </si>
  <si>
    <t>Južna Koreja</t>
  </si>
  <si>
    <t>Grčija</t>
  </si>
  <si>
    <t>ZDA</t>
  </si>
  <si>
    <t>Alžirija</t>
  </si>
  <si>
    <t>Nemčija</t>
  </si>
  <si>
    <t>Avstralija</t>
  </si>
  <si>
    <t>Nizozemska</t>
  </si>
  <si>
    <t>Japonska</t>
  </si>
  <si>
    <t>Slonokoščena obala</t>
  </si>
  <si>
    <t>Portugalska</t>
  </si>
  <si>
    <t>Švica</t>
  </si>
  <si>
    <t>Argélia</t>
  </si>
  <si>
    <t>Itália</t>
  </si>
  <si>
    <t>Maltese</t>
  </si>
  <si>
    <t>Fażi tal-Gruppi</t>
  </si>
  <si>
    <t>L-Aħħar Sittax</t>
  </si>
  <si>
    <t>Kwarti-Finali</t>
  </si>
  <si>
    <t>Semi-Finali</t>
  </si>
  <si>
    <t>Final għat-Tielet u r-Raba' Post</t>
  </si>
  <si>
    <t>Finali</t>
  </si>
  <si>
    <t>Ħad</t>
  </si>
  <si>
    <t>Tne</t>
  </si>
  <si>
    <t>Tli</t>
  </si>
  <si>
    <t>Erb</t>
  </si>
  <si>
    <t>Ħam</t>
  </si>
  <si>
    <t>Ġim</t>
  </si>
  <si>
    <t>Sib</t>
  </si>
  <si>
    <t>Fra</t>
  </si>
  <si>
    <t>Mej</t>
  </si>
  <si>
    <t>Ġun</t>
  </si>
  <si>
    <t>Lul</t>
  </si>
  <si>
    <t>Aww</t>
  </si>
  <si>
    <t>Deċ</t>
  </si>
  <si>
    <t>Messiku</t>
  </si>
  <si>
    <t>Franza</t>
  </si>
  <si>
    <t>Arġentina</t>
  </si>
  <si>
    <t>Niġerja</t>
  </si>
  <si>
    <t>Ingilterra</t>
  </si>
  <si>
    <t>Alġerija</t>
  </si>
  <si>
    <t>Ġermanja</t>
  </si>
  <si>
    <t>Awstralja</t>
  </si>
  <si>
    <t>Ġappun</t>
  </si>
  <si>
    <t>Italja</t>
  </si>
  <si>
    <t>Brażil</t>
  </si>
  <si>
    <t>Ċile</t>
  </si>
  <si>
    <t>1Ċ</t>
  </si>
  <si>
    <t>2Ċ</t>
  </si>
  <si>
    <t>1Ġ</t>
  </si>
  <si>
    <t>2Ġ</t>
  </si>
  <si>
    <t>1Ħ</t>
  </si>
  <si>
    <t>R49</t>
  </si>
  <si>
    <t>R50</t>
  </si>
  <si>
    <t>R51</t>
  </si>
  <si>
    <t>R52</t>
  </si>
  <si>
    <t>R53</t>
  </si>
  <si>
    <t>R54</t>
  </si>
  <si>
    <t>R55</t>
  </si>
  <si>
    <t>R56</t>
  </si>
  <si>
    <t>R57</t>
  </si>
  <si>
    <t>R58</t>
  </si>
  <si>
    <t>R59</t>
  </si>
  <si>
    <t>R60</t>
  </si>
  <si>
    <t>R61</t>
  </si>
  <si>
    <t>R62</t>
  </si>
  <si>
    <t>Urdu</t>
  </si>
  <si>
    <t>۲۰۱۰ فٹبال عالمی کپ ٹورنمنٹ کا خاکہ</t>
  </si>
  <si>
    <t>گروپ بندی</t>
  </si>
  <si>
    <t>سولھواں دور</t>
  </si>
  <si>
    <t>کواٹر فائنل</t>
  </si>
  <si>
    <t>سیمی فائنل</t>
  </si>
  <si>
    <t>تیسرے مقام کے لئے کھیل</t>
  </si>
  <si>
    <t>فائنل</t>
  </si>
  <si>
    <t>کھیلے گئے مقابلے</t>
  </si>
  <si>
    <t>جیت</t>
  </si>
  <si>
    <t>برابر</t>
  </si>
  <si>
    <t>ہارے گئے مقابلے</t>
  </si>
  <si>
    <t>گول کئے- انکے خلاف گول کئے گئے</t>
  </si>
  <si>
    <t>نشان</t>
  </si>
  <si>
    <t>اتوار</t>
  </si>
  <si>
    <t>پیر</t>
  </si>
  <si>
    <t>منگل</t>
  </si>
  <si>
    <t>بدھ</t>
  </si>
  <si>
    <t>جمعرات</t>
  </si>
  <si>
    <t>جمعہ</t>
  </si>
  <si>
    <t>سنیچر</t>
  </si>
  <si>
    <t>جنوری</t>
  </si>
  <si>
    <t>فروری</t>
  </si>
  <si>
    <t>مارچ</t>
  </si>
  <si>
    <t>اپریل</t>
  </si>
  <si>
    <t>مئی</t>
  </si>
  <si>
    <t>جون</t>
  </si>
  <si>
    <t>جولائی</t>
  </si>
  <si>
    <t>اگست</t>
  </si>
  <si>
    <t>ستمبر</t>
  </si>
  <si>
    <t>اکتوبر</t>
  </si>
  <si>
    <t>نومبر</t>
  </si>
  <si>
    <t>دسمبر</t>
  </si>
  <si>
    <t>ٹیم</t>
  </si>
  <si>
    <t>میکسیکو</t>
  </si>
  <si>
    <t>فرانس</t>
  </si>
  <si>
    <t>ارجنٹینا</t>
  </si>
  <si>
    <t>انگلستان</t>
  </si>
  <si>
    <t>الجیریا</t>
  </si>
  <si>
    <t>جرمنی</t>
  </si>
  <si>
    <t>جاپان</t>
  </si>
  <si>
    <t>کیمرون</t>
  </si>
  <si>
    <t>برازیل</t>
  </si>
  <si>
    <t>پرتگال</t>
  </si>
  <si>
    <t>چلی</t>
  </si>
  <si>
    <t>۱الف</t>
  </si>
  <si>
    <t>۲الف</t>
  </si>
  <si>
    <t>۱ب</t>
  </si>
  <si>
    <t>۲ب</t>
  </si>
  <si>
    <t>۱ج</t>
  </si>
  <si>
    <t>۲ج</t>
  </si>
  <si>
    <t>۱د</t>
  </si>
  <si>
    <t>۲د</t>
  </si>
  <si>
    <t>۱ھ</t>
  </si>
  <si>
    <t>۲ھ</t>
  </si>
  <si>
    <t>۱و</t>
  </si>
  <si>
    <t>۲و</t>
  </si>
  <si>
    <t>۱ز</t>
  </si>
  <si>
    <t>۲ز</t>
  </si>
  <si>
    <t>۱ح</t>
  </si>
  <si>
    <t>۲ح</t>
  </si>
  <si>
    <t>۴۹ جیت</t>
  </si>
  <si>
    <t>۵۰ جیت</t>
  </si>
  <si>
    <t>۵۱ جیت</t>
  </si>
  <si>
    <t>۵۲ جیت</t>
  </si>
  <si>
    <t>۵۳ جیت</t>
  </si>
  <si>
    <t>۵۴ جیت</t>
  </si>
  <si>
    <t>۵۵ جیت</t>
  </si>
  <si>
    <t>۵۶ جیت</t>
  </si>
  <si>
    <t>۵۷ جیت</t>
  </si>
  <si>
    <t>۵۸ جیت</t>
  </si>
  <si>
    <t>۵۹ جیت</t>
  </si>
  <si>
    <t>۶۰ جیت</t>
  </si>
  <si>
    <t>۶۱ جیت</t>
  </si>
  <si>
    <t>۶۲ جیت</t>
  </si>
  <si>
    <t>۶۱ ہار</t>
  </si>
  <si>
    <t>۶۲ ہار</t>
  </si>
  <si>
    <t>ورلڈ چیمپینس</t>
  </si>
  <si>
    <t>F-A</t>
  </si>
  <si>
    <t>FIFA</t>
  </si>
  <si>
    <t>Icelandic</t>
  </si>
  <si>
    <t>Riðlakeppnin</t>
  </si>
  <si>
    <t>16 liða úrslit</t>
  </si>
  <si>
    <t>8 liða úrslit</t>
  </si>
  <si>
    <t>Undanúrslit</t>
  </si>
  <si>
    <t>Leikur um 3.sæti</t>
  </si>
  <si>
    <t>Úrslit</t>
  </si>
  <si>
    <t>Riðill</t>
  </si>
  <si>
    <t>Jafnt</t>
  </si>
  <si>
    <t>S - F</t>
  </si>
  <si>
    <t>Stig</t>
  </si>
  <si>
    <t>Mán</t>
  </si>
  <si>
    <t>Þri</t>
  </si>
  <si>
    <t>Mið</t>
  </si>
  <si>
    <t>Fim</t>
  </si>
  <si>
    <t>Fös</t>
  </si>
  <si>
    <t>Lau</t>
  </si>
  <si>
    <t>Maí</t>
  </si>
  <si>
    <t>Ágú</t>
  </si>
  <si>
    <t>Nóv</t>
  </si>
  <si>
    <t>Lið</t>
  </si>
  <si>
    <t>Nígería</t>
  </si>
  <si>
    <t>Grikkland</t>
  </si>
  <si>
    <t>Þýskaland</t>
  </si>
  <si>
    <t>Kamerún</t>
  </si>
  <si>
    <t>Brasilía</t>
  </si>
  <si>
    <t>Sviss</t>
  </si>
  <si>
    <t>Portuguese</t>
  </si>
  <si>
    <t>Oitavos de Final</t>
  </si>
  <si>
    <t>Quartos de Final</t>
  </si>
  <si>
    <t>Semi-final</t>
  </si>
  <si>
    <t>3º/4º lugar</t>
  </si>
  <si>
    <t>GM - GS</t>
  </si>
  <si>
    <t>Equipa</t>
  </si>
  <si>
    <t>Albanian</t>
  </si>
  <si>
    <t>Grupet</t>
  </si>
  <si>
    <t>Rundi I 16</t>
  </si>
  <si>
    <t>Qerekfinalja</t>
  </si>
  <si>
    <t>Gjysmëfinalja</t>
  </si>
  <si>
    <t>Takimi për vendin e tretë</t>
  </si>
  <si>
    <t>Finalja</t>
  </si>
  <si>
    <t>Grupi</t>
  </si>
  <si>
    <t>BAR</t>
  </si>
  <si>
    <t>GSH-GP</t>
  </si>
  <si>
    <t>PIK</t>
  </si>
  <si>
    <t>Diel</t>
  </si>
  <si>
    <t>Hënë</t>
  </si>
  <si>
    <t>Mër</t>
  </si>
  <si>
    <t>Enjt</t>
  </si>
  <si>
    <t>Pre</t>
  </si>
  <si>
    <t>Sht</t>
  </si>
  <si>
    <t>Shk</t>
  </si>
  <si>
    <t>Pri</t>
  </si>
  <si>
    <t>Qer</t>
  </si>
  <si>
    <t>Kor</t>
  </si>
  <si>
    <t>Gus</t>
  </si>
  <si>
    <t>Shta</t>
  </si>
  <si>
    <t>Tet</t>
  </si>
  <si>
    <t>Nën</t>
  </si>
  <si>
    <t>Dhj</t>
  </si>
  <si>
    <t>Ekipi</t>
  </si>
  <si>
    <t>SHBA</t>
  </si>
  <si>
    <t>Brazili</t>
  </si>
  <si>
    <t>Spanja</t>
  </si>
  <si>
    <t>Kili</t>
  </si>
  <si>
    <t>F49</t>
  </si>
  <si>
    <t>F50</t>
  </si>
  <si>
    <t>F51</t>
  </si>
  <si>
    <t>F52</t>
  </si>
  <si>
    <t>F53</t>
  </si>
  <si>
    <t>F54</t>
  </si>
  <si>
    <t>F55</t>
  </si>
  <si>
    <t>F56</t>
  </si>
  <si>
    <t>F57</t>
  </si>
  <si>
    <t>F58</t>
  </si>
  <si>
    <t>F59</t>
  </si>
  <si>
    <t>F60</t>
  </si>
  <si>
    <t>F61</t>
  </si>
  <si>
    <t>F62</t>
  </si>
  <si>
    <t>H61</t>
  </si>
  <si>
    <t>H62</t>
  </si>
  <si>
    <t xml:space="preserve">Kampioni </t>
  </si>
  <si>
    <t>Armenian</t>
  </si>
  <si>
    <t>Խմբային փուլ</t>
  </si>
  <si>
    <t>1/8 Եզրափակիչ</t>
  </si>
  <si>
    <t>1/4 Եզրափակիչ</t>
  </si>
  <si>
    <t>Կիսաեզրափակիչ</t>
  </si>
  <si>
    <t>3-րդ տեղի համար եզրափակիչ</t>
  </si>
  <si>
    <t>Եզրափակիչ</t>
  </si>
  <si>
    <t>Խումբ</t>
  </si>
  <si>
    <t>Խ</t>
  </si>
  <si>
    <t>Հ</t>
  </si>
  <si>
    <t>Ո</t>
  </si>
  <si>
    <t>Պ</t>
  </si>
  <si>
    <t>ԽԳ-ԲԳ</t>
  </si>
  <si>
    <t>Մ</t>
  </si>
  <si>
    <t>Կիր.</t>
  </si>
  <si>
    <t>Երկ.</t>
  </si>
  <si>
    <t>Երեք.</t>
  </si>
  <si>
    <t>Չոր.</t>
  </si>
  <si>
    <t>Հինգ.</t>
  </si>
  <si>
    <t>Ուրբ.</t>
  </si>
  <si>
    <t>Շաբ.</t>
  </si>
  <si>
    <t>Հունվ.</t>
  </si>
  <si>
    <t>Փետր.</t>
  </si>
  <si>
    <t>Մարտ</t>
  </si>
  <si>
    <t>Ապրիլ</t>
  </si>
  <si>
    <t>Մայիս</t>
  </si>
  <si>
    <t>Հունիս</t>
  </si>
  <si>
    <t>Հուլիս</t>
  </si>
  <si>
    <t>Օգոս.</t>
  </si>
  <si>
    <t>Սեպտ.</t>
  </si>
  <si>
    <t>Հոկտ.</t>
  </si>
  <si>
    <t>Նոյեմ.</t>
  </si>
  <si>
    <t>Դեկտ.</t>
  </si>
  <si>
    <t>Հավաքական</t>
  </si>
  <si>
    <t>Մեքսիկա</t>
  </si>
  <si>
    <t>Ուրուգվայ</t>
  </si>
  <si>
    <t>Արգենտինա</t>
  </si>
  <si>
    <t>Նիգերիա</t>
  </si>
  <si>
    <t>Հունաստան</t>
  </si>
  <si>
    <t>Անգլիա</t>
  </si>
  <si>
    <t>Գերմանիա</t>
  </si>
  <si>
    <t>Ավստրալիա</t>
  </si>
  <si>
    <t>Գանա</t>
  </si>
  <si>
    <t>Ճապոնիա</t>
  </si>
  <si>
    <t>Կամերուն</t>
  </si>
  <si>
    <t>Իտալիա</t>
  </si>
  <si>
    <t>Բրազիլիա</t>
  </si>
  <si>
    <t>Պորտուգալիա</t>
  </si>
  <si>
    <t>Իսպանիա</t>
  </si>
  <si>
    <t>Շվեյցարիա</t>
  </si>
  <si>
    <t>Հոնդուրաս</t>
  </si>
  <si>
    <t>Չիլի</t>
  </si>
  <si>
    <t>Babak Kualifikasi</t>
  </si>
  <si>
    <t>Per Delapan Final</t>
  </si>
  <si>
    <t>Perebutan Tempat Ketiga</t>
  </si>
  <si>
    <t>Kelompok</t>
  </si>
  <si>
    <t>Seri</t>
  </si>
  <si>
    <t xml:space="preserve">Skor </t>
  </si>
  <si>
    <t>Nilai</t>
  </si>
  <si>
    <t>Min</t>
  </si>
  <si>
    <t>Peb</t>
  </si>
  <si>
    <t>Agu</t>
  </si>
  <si>
    <t>Nop</t>
  </si>
  <si>
    <t>Tim</t>
  </si>
  <si>
    <t>Aljazair</t>
  </si>
  <si>
    <t>Australi</t>
  </si>
  <si>
    <t>Croatian</t>
  </si>
  <si>
    <t>Prvi krug</t>
  </si>
  <si>
    <t>Drugi krug</t>
  </si>
  <si>
    <t>Sri</t>
  </si>
  <si>
    <t>Sij</t>
  </si>
  <si>
    <t>Vel</t>
  </si>
  <si>
    <t>Ožu</t>
  </si>
  <si>
    <t>Tra</t>
  </si>
  <si>
    <t>Svi</t>
  </si>
  <si>
    <t>Srp</t>
  </si>
  <si>
    <t>Kol</t>
  </si>
  <si>
    <t>Ruj</t>
  </si>
  <si>
    <t>Stu</t>
  </si>
  <si>
    <t>Pro</t>
  </si>
  <si>
    <t>Obala Bjelokosti</t>
  </si>
  <si>
    <t>Španjolska</t>
  </si>
  <si>
    <t>Груповий етап</t>
  </si>
  <si>
    <t>1/8 фіналу</t>
  </si>
  <si>
    <t>Чвертьфінал</t>
  </si>
  <si>
    <t>Півфінал</t>
  </si>
  <si>
    <t>Матч за третє місце</t>
  </si>
  <si>
    <t>Фінал</t>
  </si>
  <si>
    <t>І</t>
  </si>
  <si>
    <t xml:space="preserve">М </t>
  </si>
  <si>
    <t>Нд</t>
  </si>
  <si>
    <t>Січ</t>
  </si>
  <si>
    <t>Лют</t>
  </si>
  <si>
    <t>Бер</t>
  </si>
  <si>
    <t>Квіт</t>
  </si>
  <si>
    <t>Трав</t>
  </si>
  <si>
    <t>Черв</t>
  </si>
  <si>
    <t>Лип</t>
  </si>
  <si>
    <t>Серп</t>
  </si>
  <si>
    <t>Вер</t>
  </si>
  <si>
    <t>Жовт</t>
  </si>
  <si>
    <t>Лист</t>
  </si>
  <si>
    <t>Груд</t>
  </si>
  <si>
    <t>Франція</t>
  </si>
  <si>
    <t>Нігерія</t>
  </si>
  <si>
    <t>Південна Корея</t>
  </si>
  <si>
    <t>Греція</t>
  </si>
  <si>
    <t>Англія</t>
  </si>
  <si>
    <t>Німеччина</t>
  </si>
  <si>
    <t>Австралія</t>
  </si>
  <si>
    <t>Нідерланди</t>
  </si>
  <si>
    <t>Японія</t>
  </si>
  <si>
    <t>Італія</t>
  </si>
  <si>
    <t>Бразилія</t>
  </si>
  <si>
    <t>Португалія</t>
  </si>
  <si>
    <t>Іспанія</t>
  </si>
  <si>
    <t>Швейцарія</t>
  </si>
  <si>
    <t>Чилі</t>
  </si>
  <si>
    <t>Переможець 49</t>
  </si>
  <si>
    <t>Переможець 50</t>
  </si>
  <si>
    <t>Переможець 51</t>
  </si>
  <si>
    <t>Переможець 52</t>
  </si>
  <si>
    <t>Переможець 53</t>
  </si>
  <si>
    <t>Переможець 54</t>
  </si>
  <si>
    <t>Переможець 55</t>
  </si>
  <si>
    <t>Переможець 56</t>
  </si>
  <si>
    <t>Переможець 57</t>
  </si>
  <si>
    <t>Переможець 58</t>
  </si>
  <si>
    <t>Переможець 59</t>
  </si>
  <si>
    <t>Переможець 60</t>
  </si>
  <si>
    <t>Переможець 61</t>
  </si>
  <si>
    <t>Переможець 62</t>
  </si>
  <si>
    <t>Переможений 61</t>
  </si>
  <si>
    <t>Переможений 62</t>
  </si>
  <si>
    <t>Ukrainian</t>
  </si>
  <si>
    <t>GF - GK</t>
  </si>
  <si>
    <t>Åttondelsfinal</t>
  </si>
  <si>
    <t>Match om tredje pris</t>
  </si>
  <si>
    <t>Sydkorea</t>
  </si>
  <si>
    <t>Nederländerna</t>
  </si>
  <si>
    <t>Group Stage</t>
  </si>
  <si>
    <t>Групповой Раунд</t>
  </si>
  <si>
    <t>Gruppenphase</t>
  </si>
  <si>
    <t>Phase de groupes</t>
  </si>
  <si>
    <t>Fase de grupos</t>
  </si>
  <si>
    <t>W</t>
  </si>
  <si>
    <t>D</t>
  </si>
  <si>
    <t>L</t>
  </si>
  <si>
    <t>Pnt</t>
  </si>
  <si>
    <t>Rank</t>
  </si>
  <si>
    <t>Team</t>
  </si>
  <si>
    <t>Place</t>
  </si>
  <si>
    <t>GF</t>
  </si>
  <si>
    <t>GA</t>
  </si>
  <si>
    <t>Final</t>
  </si>
  <si>
    <t>Quarterfinals</t>
  </si>
  <si>
    <t>Semi-Finals</t>
  </si>
  <si>
    <t>GF - GA</t>
  </si>
  <si>
    <t>English</t>
  </si>
  <si>
    <t>Russian</t>
  </si>
  <si>
    <t>Group</t>
  </si>
  <si>
    <t>Четвертьфиналы</t>
  </si>
  <si>
    <t>Полуфиналы</t>
  </si>
  <si>
    <t>Матч за Третье Место</t>
  </si>
  <si>
    <t>Финал</t>
  </si>
  <si>
    <t>Группа</t>
  </si>
  <si>
    <t>И</t>
  </si>
  <si>
    <t>П</t>
  </si>
  <si>
    <t>В</t>
  </si>
  <si>
    <t>З - П</t>
  </si>
  <si>
    <t>Янв</t>
  </si>
  <si>
    <t>Фев</t>
  </si>
  <si>
    <t>Мар</t>
  </si>
  <si>
    <t>Апр</t>
  </si>
  <si>
    <t>Май</t>
  </si>
  <si>
    <t>Июн</t>
  </si>
  <si>
    <t>Июл</t>
  </si>
  <si>
    <t>Авг</t>
  </si>
  <si>
    <t>Сен</t>
  </si>
  <si>
    <t>Окт</t>
  </si>
  <si>
    <t>Ноя</t>
  </si>
  <si>
    <t>Дек</t>
  </si>
  <si>
    <t>Команда</t>
  </si>
  <si>
    <t>Date + Time + GMT</t>
  </si>
  <si>
    <t>Switzerland</t>
  </si>
  <si>
    <t>France</t>
  </si>
  <si>
    <t>Germany</t>
  </si>
  <si>
    <t>Third-Place Play-Off</t>
  </si>
  <si>
    <t>German</t>
  </si>
  <si>
    <t>French</t>
  </si>
  <si>
    <t>Spanish</t>
  </si>
  <si>
    <t>GMT</t>
  </si>
  <si>
    <t>Viertelfinale</t>
  </si>
  <si>
    <t>Quart de Finale</t>
  </si>
  <si>
    <t>Cuartos de Final</t>
  </si>
  <si>
    <t>Halbfinale</t>
  </si>
  <si>
    <t>Demi-Finale</t>
  </si>
  <si>
    <t>Semifinales</t>
  </si>
  <si>
    <t>Match pour la troisième place</t>
  </si>
  <si>
    <t>Tercer puesto</t>
  </si>
  <si>
    <t>Finale</t>
  </si>
  <si>
    <t>Gruppe</t>
  </si>
  <si>
    <t>Groupe</t>
  </si>
  <si>
    <t>Grupo</t>
  </si>
  <si>
    <t>G</t>
  </si>
  <si>
    <t>V</t>
  </si>
  <si>
    <t>P</t>
  </si>
  <si>
    <t>Jan</t>
  </si>
  <si>
    <t>Feb</t>
  </si>
  <si>
    <t>Apr</t>
  </si>
  <si>
    <t>Mai</t>
  </si>
  <si>
    <t>Jun</t>
  </si>
  <si>
    <t>Jul</t>
  </si>
  <si>
    <t>Aug</t>
  </si>
  <si>
    <t>Sep</t>
  </si>
  <si>
    <t>Oct</t>
  </si>
  <si>
    <t>Nov</t>
  </si>
  <si>
    <t>Dez</t>
  </si>
  <si>
    <t>Juin</t>
  </si>
  <si>
    <t>Juil</t>
  </si>
  <si>
    <t>GMT + 1:00</t>
  </si>
  <si>
    <t>+0 min</t>
  </si>
  <si>
    <t>GMT - 11:00</t>
  </si>
  <si>
    <t>GMT - 10:00</t>
  </si>
  <si>
    <t>GMT - 9:00</t>
  </si>
  <si>
    <t>GMT - 8:00</t>
  </si>
  <si>
    <t>GMT - 7:00</t>
  </si>
  <si>
    <t>GMT - 6:00</t>
  </si>
  <si>
    <t>GMT - 5:00</t>
  </si>
  <si>
    <t>GMT - 4:00</t>
  </si>
  <si>
    <t>GMT - 3:00</t>
  </si>
  <si>
    <t>GMT - 2:00</t>
  </si>
  <si>
    <t>GMT - 1:00</t>
  </si>
  <si>
    <t>GMT + 2:00</t>
  </si>
  <si>
    <t>GMT + 3:00</t>
  </si>
  <si>
    <t>GMT + 4:00</t>
  </si>
  <si>
    <t>GMT + 5:00</t>
  </si>
  <si>
    <t>GMT + 6:00</t>
  </si>
  <si>
    <t>GMT + 7:00</t>
  </si>
  <si>
    <t>GMT + 8:00</t>
  </si>
  <si>
    <t>GMT + 9:00</t>
  </si>
  <si>
    <t>GMT + 10:00</t>
  </si>
  <si>
    <t>GMT + 11:00</t>
  </si>
  <si>
    <t>GMT + 12:00</t>
  </si>
  <si>
    <t>+15 min</t>
  </si>
  <si>
    <t>+30 min</t>
  </si>
  <si>
    <t>+45 min</t>
  </si>
  <si>
    <t>Language ID</t>
  </si>
  <si>
    <t>GMT Delta</t>
  </si>
  <si>
    <t>Вс</t>
  </si>
  <si>
    <t>Пн</t>
  </si>
  <si>
    <t>Вт</t>
  </si>
  <si>
    <t>Ср</t>
  </si>
  <si>
    <t>Чт</t>
  </si>
  <si>
    <t>Пт</t>
  </si>
  <si>
    <t>Сб</t>
  </si>
  <si>
    <t>Sun</t>
  </si>
  <si>
    <t>Mon</t>
  </si>
  <si>
    <t>Tue</t>
  </si>
  <si>
    <t>Wed</t>
  </si>
  <si>
    <t>Thu</t>
  </si>
  <si>
    <t>Fri</t>
  </si>
  <si>
    <t>Sat</t>
  </si>
  <si>
    <t>Mar</t>
  </si>
  <si>
    <t>May</t>
  </si>
  <si>
    <t>Dec</t>
  </si>
  <si>
    <t>S</t>
  </si>
  <si>
    <t>N</t>
  </si>
  <si>
    <t>ET - KT</t>
  </si>
  <si>
    <t>BP - BC</t>
  </si>
  <si>
    <t>GF - GC</t>
  </si>
  <si>
    <t>Janv</t>
  </si>
  <si>
    <t>Ene</t>
  </si>
  <si>
    <t>Févr</t>
  </si>
  <si>
    <t>Mrz</t>
  </si>
  <si>
    <t>Mars</t>
  </si>
  <si>
    <t>Avr</t>
  </si>
  <si>
    <t>Abr</t>
  </si>
  <si>
    <t>Août</t>
  </si>
  <si>
    <t>Ago</t>
  </si>
  <si>
    <t>Sept</t>
  </si>
  <si>
    <t>Okt</t>
  </si>
  <si>
    <t>Déc</t>
  </si>
  <si>
    <t>Dic</t>
  </si>
  <si>
    <t>PNT</t>
  </si>
  <si>
    <t>PKT</t>
  </si>
  <si>
    <t>PTS</t>
  </si>
  <si>
    <t>ОЧКИ</t>
  </si>
  <si>
    <t>PL</t>
  </si>
  <si>
    <t>SP</t>
  </si>
  <si>
    <t>J</t>
  </si>
  <si>
    <t>Équipe</t>
  </si>
  <si>
    <t>Equipo</t>
  </si>
  <si>
    <t>DRAW</t>
  </si>
  <si>
    <t>Н</t>
  </si>
  <si>
    <t>Mexico</t>
  </si>
  <si>
    <t>Uruguay</t>
  </si>
  <si>
    <t>Argentina</t>
  </si>
  <si>
    <t>Nigeria</t>
  </si>
  <si>
    <t>Korea Republic</t>
  </si>
  <si>
    <t>Greece</t>
  </si>
  <si>
    <t>England</t>
  </si>
  <si>
    <t>USA</t>
  </si>
  <si>
    <t>Algeria</t>
  </si>
  <si>
    <t>Australia</t>
  </si>
  <si>
    <t>Ghana</t>
  </si>
  <si>
    <t>Netherlands</t>
  </si>
  <si>
    <t>Japan</t>
  </si>
  <si>
    <t>Cameroon</t>
  </si>
  <si>
    <t>Italy</t>
  </si>
  <si>
    <t>Brazil</t>
  </si>
  <si>
    <t>Côte d'Ivoire</t>
  </si>
  <si>
    <t>Portugal</t>
  </si>
  <si>
    <t>Spain</t>
  </si>
  <si>
    <t>Honduras</t>
  </si>
  <si>
    <t>Chile</t>
  </si>
  <si>
    <t>R</t>
  </si>
  <si>
    <t>Delta</t>
  </si>
  <si>
    <t>Round of 16</t>
  </si>
  <si>
    <t>1/8 Финала</t>
  </si>
  <si>
    <t>W49</t>
  </si>
  <si>
    <t>W50</t>
  </si>
  <si>
    <t>W51</t>
  </si>
  <si>
    <t>W52</t>
  </si>
  <si>
    <t>W53</t>
  </si>
  <si>
    <t>W54</t>
  </si>
  <si>
    <t>W55</t>
  </si>
  <si>
    <t>W56</t>
  </si>
  <si>
    <t>itype</t>
  </si>
  <si>
    <t>Achtelfinale</t>
  </si>
  <si>
    <t>Spiel um den dritten Platz</t>
  </si>
  <si>
    <t>1A</t>
  </si>
  <si>
    <t>2A</t>
  </si>
  <si>
    <t>1B</t>
  </si>
  <si>
    <t>2B</t>
  </si>
  <si>
    <t>1C</t>
  </si>
  <si>
    <t>2C</t>
  </si>
  <si>
    <t>1D</t>
  </si>
  <si>
    <t>2D</t>
  </si>
  <si>
    <t>1E</t>
  </si>
  <si>
    <t>2E</t>
  </si>
  <si>
    <t>1F</t>
  </si>
  <si>
    <t>2F</t>
  </si>
  <si>
    <t>1G</t>
  </si>
  <si>
    <t>2G</t>
  </si>
  <si>
    <t>1H</t>
  </si>
  <si>
    <t>2H</t>
  </si>
  <si>
    <t>Huitièmes de finale</t>
  </si>
  <si>
    <t>Octavos de final</t>
  </si>
  <si>
    <t>México</t>
  </si>
  <si>
    <t>Francia</t>
  </si>
  <si>
    <t>República de Corea</t>
  </si>
  <si>
    <t>Grecia</t>
  </si>
  <si>
    <t>Inglaterra</t>
  </si>
  <si>
    <t>Argelia</t>
  </si>
  <si>
    <t>Alemania</t>
  </si>
  <si>
    <t>Países Bajos</t>
  </si>
  <si>
    <t>Japón</t>
  </si>
  <si>
    <t>Camerún</t>
  </si>
  <si>
    <t>Italia</t>
  </si>
  <si>
    <t>Brasil</t>
  </si>
  <si>
    <t>España</t>
  </si>
  <si>
    <t>Suiza</t>
  </si>
  <si>
    <t>Mexique</t>
  </si>
  <si>
    <t>Argentine</t>
  </si>
  <si>
    <t>République de Corée</t>
  </si>
  <si>
    <t>Grèce</t>
  </si>
  <si>
    <t>Angleterre</t>
  </si>
  <si>
    <t>Algérie</t>
  </si>
  <si>
    <t>Allemagne</t>
  </si>
  <si>
    <t>Australie</t>
  </si>
  <si>
    <t>Pays-Bas</t>
  </si>
  <si>
    <t>Japon</t>
  </si>
  <si>
    <t>Cameroun</t>
  </si>
  <si>
    <t>Italie</t>
  </si>
  <si>
    <t>Brésil</t>
  </si>
  <si>
    <t>Chili</t>
  </si>
  <si>
    <t>Espagne</t>
  </si>
  <si>
    <t>Suisse</t>
  </si>
  <si>
    <t>Mexiko</t>
  </si>
  <si>
    <t>Frankreich</t>
  </si>
  <si>
    <t>Argentinien</t>
  </si>
  <si>
    <t>Korea Republik</t>
  </si>
  <si>
    <t>Griechenland</t>
  </si>
  <si>
    <t>Algerien</t>
  </si>
  <si>
    <t>Deutschland</t>
  </si>
  <si>
    <t>Australien</t>
  </si>
  <si>
    <t>Niederlande</t>
  </si>
  <si>
    <t>Kamerun</t>
  </si>
  <si>
    <t>Italien</t>
  </si>
  <si>
    <t>Brasilien</t>
  </si>
  <si>
    <t>Spanien</t>
  </si>
  <si>
    <t>Schweiz</t>
  </si>
  <si>
    <t>W57</t>
  </si>
  <si>
    <t>W58</t>
  </si>
  <si>
    <t>W59</t>
  </si>
  <si>
    <t>W60</t>
  </si>
  <si>
    <t>W61</t>
  </si>
  <si>
    <t>W62</t>
  </si>
  <si>
    <t>L61</t>
  </si>
  <si>
    <t>L62</t>
  </si>
  <si>
    <t>Мексика</t>
  </si>
  <si>
    <t>Уругвай</t>
  </si>
  <si>
    <t>Франция</t>
  </si>
  <si>
    <t>Аргентина</t>
  </si>
  <si>
    <t>Нигерия</t>
  </si>
  <si>
    <t>Греция</t>
  </si>
  <si>
    <t>Англия</t>
  </si>
  <si>
    <t>США</t>
  </si>
  <si>
    <t>Алжир</t>
  </si>
  <si>
    <t>Германия</t>
  </si>
  <si>
    <t>Австралия</t>
  </si>
  <si>
    <t>Гана</t>
  </si>
  <si>
    <t>Нидерланды</t>
  </si>
  <si>
    <t>Япония</t>
  </si>
  <si>
    <t>Камерун</t>
  </si>
  <si>
    <t>Италия</t>
  </si>
  <si>
    <t>Бразилия</t>
  </si>
  <si>
    <t>Португалия</t>
  </si>
  <si>
    <t>Испания</t>
  </si>
  <si>
    <t>Швейцария</t>
  </si>
  <si>
    <t>Гондурас</t>
  </si>
  <si>
    <t>Чили</t>
  </si>
  <si>
    <t>Dutch</t>
  </si>
  <si>
    <t>Groepsfase</t>
  </si>
  <si>
    <t>Achtste finales</t>
  </si>
  <si>
    <t>Kwartfinales</t>
  </si>
  <si>
    <t>Halve finales</t>
  </si>
  <si>
    <t>Derde en vierde plaats</t>
  </si>
  <si>
    <t>Groep</t>
  </si>
  <si>
    <t>WG</t>
  </si>
  <si>
    <t>DV-DT</t>
  </si>
  <si>
    <t>Zo</t>
  </si>
  <si>
    <t>Ma</t>
  </si>
  <si>
    <t>Di</t>
  </si>
  <si>
    <t>Wo</t>
  </si>
  <si>
    <t>Do</t>
  </si>
  <si>
    <t>Vr</t>
  </si>
  <si>
    <t>Za</t>
  </si>
  <si>
    <t>Mrt</t>
  </si>
  <si>
    <t>Mei</t>
  </si>
  <si>
    <t>Frankrijk</t>
  </si>
  <si>
    <t>Argentinië</t>
  </si>
  <si>
    <t>Zuid-Korea</t>
  </si>
  <si>
    <t>Griekenland</t>
  </si>
  <si>
    <t>Engeland</t>
  </si>
  <si>
    <t>Algerije</t>
  </si>
  <si>
    <t>Duitsland</t>
  </si>
  <si>
    <t>Australië</t>
  </si>
  <si>
    <t>Nederland</t>
  </si>
  <si>
    <t>Kameroen</t>
  </si>
  <si>
    <t>Italië</t>
  </si>
  <si>
    <t>Brazilië</t>
  </si>
  <si>
    <t>Ivoorkust</t>
  </si>
  <si>
    <t>Spanje</t>
  </si>
  <si>
    <t>Zwitserland</t>
  </si>
  <si>
    <t>A1</t>
  </si>
  <si>
    <t>A2</t>
  </si>
  <si>
    <t>B1</t>
  </si>
  <si>
    <t>B2</t>
  </si>
  <si>
    <t>C1</t>
  </si>
  <si>
    <t>C2</t>
  </si>
  <si>
    <t>D1</t>
  </si>
  <si>
    <t>D2</t>
  </si>
  <si>
    <t>E1</t>
  </si>
  <si>
    <t>E2</t>
  </si>
  <si>
    <t>F1</t>
  </si>
  <si>
    <t>F2</t>
  </si>
  <si>
    <t>G1</t>
  </si>
  <si>
    <t>G2</t>
  </si>
  <si>
    <t>H1</t>
  </si>
  <si>
    <t>H2</t>
  </si>
  <si>
    <t>V61</t>
  </si>
  <si>
    <t>V62</t>
  </si>
  <si>
    <t>مرحله گروهی</t>
  </si>
  <si>
    <t>یک چهارم نهائی</t>
  </si>
  <si>
    <t>نیمه نهائی</t>
  </si>
  <si>
    <t>رده بندی</t>
  </si>
  <si>
    <t>فینال</t>
  </si>
  <si>
    <t>گروه</t>
  </si>
  <si>
    <t>بازی</t>
  </si>
  <si>
    <t>برد</t>
  </si>
  <si>
    <t>مساوی</t>
  </si>
  <si>
    <t>باخت</t>
  </si>
  <si>
    <t>خورده-زده</t>
  </si>
  <si>
    <t>امتیاز</t>
  </si>
  <si>
    <t>یکشنبه</t>
  </si>
  <si>
    <t>دوشنبه</t>
  </si>
  <si>
    <t>سه شنبه</t>
  </si>
  <si>
    <t>چهارشنبه</t>
  </si>
  <si>
    <t>پنجشنبه</t>
  </si>
  <si>
    <t>جمعه</t>
  </si>
  <si>
    <t>شنبه</t>
  </si>
  <si>
    <t>زانویه</t>
  </si>
  <si>
    <t>فوریه</t>
  </si>
  <si>
    <t>مارس</t>
  </si>
  <si>
    <t>آوریل</t>
  </si>
  <si>
    <t>می</t>
  </si>
  <si>
    <t>ژوئن</t>
  </si>
  <si>
    <t>ژولای</t>
  </si>
  <si>
    <t>اگوست</t>
  </si>
  <si>
    <t>سپتامبر</t>
  </si>
  <si>
    <t>اکتبر</t>
  </si>
  <si>
    <t>نوامبر</t>
  </si>
  <si>
    <t>دسامبر</t>
  </si>
  <si>
    <t>تیم</t>
  </si>
  <si>
    <t>مکزیک</t>
  </si>
  <si>
    <t>اروگوئه</t>
  </si>
  <si>
    <t>فرانسه</t>
  </si>
  <si>
    <t>آرژانتین</t>
  </si>
  <si>
    <t>نیجریه</t>
  </si>
  <si>
    <t>کره جنوبی</t>
  </si>
  <si>
    <t>یونان</t>
  </si>
  <si>
    <t>الجزایر</t>
  </si>
  <si>
    <t>آلمان</t>
  </si>
  <si>
    <t>استرالیا</t>
  </si>
  <si>
    <t>غنا</t>
  </si>
  <si>
    <t>هلند</t>
  </si>
  <si>
    <t>ژاپن</t>
  </si>
  <si>
    <t>کامرون</t>
  </si>
  <si>
    <t>ایتالیا</t>
  </si>
  <si>
    <t>برزیل</t>
  </si>
  <si>
    <t>ساحل عاج</t>
  </si>
  <si>
    <t>هندوراس</t>
  </si>
  <si>
    <t>شیلی</t>
  </si>
  <si>
    <t>Grup Aşaması</t>
  </si>
  <si>
    <t>Son 16</t>
  </si>
  <si>
    <t>Çeyrek Final</t>
  </si>
  <si>
    <t>Yarı Final</t>
  </si>
  <si>
    <t>Üçüncülük Maçı</t>
  </si>
  <si>
    <t>Grup</t>
  </si>
  <si>
    <t>O</t>
  </si>
  <si>
    <t>B</t>
  </si>
  <si>
    <t>M</t>
  </si>
  <si>
    <t>A - Y</t>
  </si>
  <si>
    <t>Paz</t>
  </si>
  <si>
    <t>Pzt</t>
  </si>
  <si>
    <t>Sal</t>
  </si>
  <si>
    <t>Çar</t>
  </si>
  <si>
    <t>Per</t>
  </si>
  <si>
    <t>Cum</t>
  </si>
  <si>
    <t>Cmt</t>
  </si>
  <si>
    <t>Oca</t>
  </si>
  <si>
    <t>Şub</t>
  </si>
  <si>
    <t>Nis</t>
  </si>
  <si>
    <t>Haz</t>
  </si>
  <si>
    <t>Tem</t>
  </si>
  <si>
    <t>Ağu</t>
  </si>
  <si>
    <t>Eyl</t>
  </si>
  <si>
    <t>Eki</t>
  </si>
  <si>
    <t>Kas</t>
  </si>
  <si>
    <t>Ara</t>
  </si>
  <si>
    <t>Takım</t>
  </si>
  <si>
    <t>Meksika</t>
  </si>
  <si>
    <t>Fransa</t>
  </si>
  <si>
    <t>Arjantin</t>
  </si>
  <si>
    <t>Nijerya</t>
  </si>
  <si>
    <t>Yunanistan</t>
  </si>
  <si>
    <t>İngiltere</t>
  </si>
  <si>
    <t>Cezayir</t>
  </si>
  <si>
    <t>Almanya</t>
  </si>
  <si>
    <t>Avustralya</t>
  </si>
  <si>
    <t>Gana</t>
  </si>
  <si>
    <t>Hollanda</t>
  </si>
  <si>
    <t>Japonya</t>
  </si>
  <si>
    <t>İtalya</t>
  </si>
  <si>
    <t>Brezilya</t>
  </si>
  <si>
    <t>Fildişi Sahili</t>
  </si>
  <si>
    <t>Portekiz</t>
  </si>
  <si>
    <t>İspanya</t>
  </si>
  <si>
    <t>İsviçre</t>
  </si>
  <si>
    <t>Şili</t>
  </si>
  <si>
    <t>G49</t>
  </si>
  <si>
    <t>G50</t>
  </si>
  <si>
    <t>G51</t>
  </si>
  <si>
    <t>G52</t>
  </si>
  <si>
    <t>G53</t>
  </si>
  <si>
    <t>G54</t>
  </si>
  <si>
    <t>G55</t>
  </si>
  <si>
    <t>G56</t>
  </si>
  <si>
    <t>G57</t>
  </si>
  <si>
    <t>G58</t>
  </si>
  <si>
    <t>G59</t>
  </si>
  <si>
    <t>G60</t>
  </si>
  <si>
    <t>G61</t>
  </si>
  <si>
    <t>G62</t>
  </si>
  <si>
    <t>M61</t>
  </si>
  <si>
    <t>M62</t>
  </si>
  <si>
    <t>Turkish</t>
  </si>
  <si>
    <t>Arabic</t>
  </si>
  <si>
    <t>المجموعة</t>
  </si>
  <si>
    <t>لعب</t>
  </si>
  <si>
    <t>فاز</t>
  </si>
  <si>
    <t>تعادل</t>
  </si>
  <si>
    <t>خسر</t>
  </si>
  <si>
    <t>النقاط</t>
  </si>
  <si>
    <t>الأحد</t>
  </si>
  <si>
    <t>الاثنين</t>
  </si>
  <si>
    <t>الثلاثاء</t>
  </si>
  <si>
    <t>الخميس</t>
  </si>
  <si>
    <t>الجمعة</t>
  </si>
  <si>
    <t>السبت</t>
  </si>
  <si>
    <t>المكسيك</t>
  </si>
  <si>
    <t>فرنسا</t>
  </si>
  <si>
    <t>الأرجنتين</t>
  </si>
  <si>
    <t>نيجيريا</t>
  </si>
  <si>
    <t>الجزائر</t>
  </si>
  <si>
    <t>ألمانيا</t>
  </si>
  <si>
    <t>أستراليا</t>
  </si>
  <si>
    <t>غانا</t>
  </si>
  <si>
    <t>هولندا</t>
  </si>
  <si>
    <t>اليابان</t>
  </si>
  <si>
    <t>الكاميرون</t>
  </si>
  <si>
    <t>البرازيل</t>
  </si>
  <si>
    <t>البرتغال</t>
  </si>
  <si>
    <t>سويسرا</t>
  </si>
  <si>
    <t xml:space="preserve"> یک هشتم نهائی</t>
  </si>
  <si>
    <t>Persian</t>
  </si>
  <si>
    <t>اول گروه A</t>
  </si>
  <si>
    <t>دوم گروه A</t>
  </si>
  <si>
    <t>اول گروه B</t>
  </si>
  <si>
    <t>دوم گروهB</t>
  </si>
  <si>
    <t>اول گروه C</t>
  </si>
  <si>
    <t>دوم گروه C</t>
  </si>
  <si>
    <t>اول گروه D</t>
  </si>
  <si>
    <t>دوم گروه D</t>
  </si>
  <si>
    <t>اول گروه E</t>
  </si>
  <si>
    <t>دوم گروه E</t>
  </si>
  <si>
    <t>اول گروه F</t>
  </si>
  <si>
    <t>دوم گروه F</t>
  </si>
  <si>
    <t>اول گروه G</t>
  </si>
  <si>
    <t>دوم گروه G</t>
  </si>
  <si>
    <t>اول گروه H</t>
  </si>
  <si>
    <t>دوم گروه H</t>
  </si>
  <si>
    <t>برنده بازی 49</t>
  </si>
  <si>
    <t>برنده بازی 50</t>
  </si>
  <si>
    <t>برنده بازی 51</t>
  </si>
  <si>
    <t>برنده بازی 52</t>
  </si>
  <si>
    <t>برنده بازی 53</t>
  </si>
  <si>
    <t>برنده بازی 54</t>
  </si>
  <si>
    <t>برنده بازی 55</t>
  </si>
  <si>
    <t>برنده بازی 56</t>
  </si>
  <si>
    <t>برنده بازی 57</t>
  </si>
  <si>
    <t>برنده بازی 58</t>
  </si>
  <si>
    <t>برنده بازی 59</t>
  </si>
  <si>
    <t>برنده بازی 60</t>
  </si>
  <si>
    <t>برنده بازی 61</t>
  </si>
  <si>
    <t>برنده بازی 62</t>
  </si>
  <si>
    <t>بازنده بازی 61</t>
  </si>
  <si>
    <t>بازنده بازی 62</t>
  </si>
  <si>
    <t>Indonesia</t>
  </si>
  <si>
    <t>Perempat Final</t>
  </si>
  <si>
    <t>Semi Final</t>
  </si>
  <si>
    <t>Main</t>
  </si>
  <si>
    <t>Menang</t>
  </si>
  <si>
    <t>Kalah</t>
  </si>
  <si>
    <t>Sen</t>
  </si>
  <si>
    <t>Sel</t>
  </si>
  <si>
    <t>Rab</t>
  </si>
  <si>
    <t>Kam</t>
  </si>
  <si>
    <t>Jum</t>
  </si>
  <si>
    <t>Sab</t>
  </si>
  <si>
    <t>Perancis</t>
  </si>
  <si>
    <t>Yunani</t>
  </si>
  <si>
    <t>Inggris</t>
  </si>
  <si>
    <t>Jerman</t>
  </si>
  <si>
    <t>Belanda</t>
  </si>
  <si>
    <t>Jepang</t>
  </si>
  <si>
    <t>Spanyol</t>
  </si>
  <si>
    <t>Swiss</t>
  </si>
  <si>
    <t>Català</t>
  </si>
  <si>
    <t>Fase de grups</t>
  </si>
  <si>
    <t>Vuitens de final</t>
  </si>
  <si>
    <t>Quarts de final</t>
  </si>
  <si>
    <t>Semifinals</t>
  </si>
  <si>
    <t>3r i 4t lloc</t>
  </si>
  <si>
    <t>E</t>
  </si>
  <si>
    <t>Punts</t>
  </si>
  <si>
    <t>Diu</t>
  </si>
  <si>
    <t>Dil</t>
  </si>
  <si>
    <t>Dim</t>
  </si>
  <si>
    <t>Dix</t>
  </si>
  <si>
    <t>Dij</t>
  </si>
  <si>
    <t>Div</t>
  </si>
  <si>
    <t>Dis</t>
  </si>
  <si>
    <t>Gen</t>
  </si>
  <si>
    <t>Set</t>
  </si>
  <si>
    <t>Des</t>
  </si>
  <si>
    <t>Equip</t>
  </si>
  <si>
    <t>Mèxic</t>
  </si>
  <si>
    <t>Uruguai</t>
  </si>
  <si>
    <t>França</t>
  </si>
  <si>
    <t>Nigèria</t>
  </si>
  <si>
    <t>Corea del Sud</t>
  </si>
  <si>
    <t>Grècia</t>
  </si>
  <si>
    <t>Anglaterra</t>
  </si>
  <si>
    <t>Algèria</t>
  </si>
  <si>
    <t>Alemanya</t>
  </si>
  <si>
    <t>Austràlia</t>
  </si>
  <si>
    <t>Holanda</t>
  </si>
  <si>
    <t>Japó</t>
  </si>
  <si>
    <t>Camerun</t>
  </si>
  <si>
    <t>Itàlia</t>
  </si>
  <si>
    <t>Espanya</t>
  </si>
  <si>
    <t>Suïssa</t>
  </si>
  <si>
    <t>Hondures</t>
  </si>
  <si>
    <t>Xile</t>
  </si>
  <si>
    <t>P61</t>
  </si>
  <si>
    <t>P62</t>
  </si>
  <si>
    <t>Φάση Ομίλων</t>
  </si>
  <si>
    <t>Φάση των 16</t>
  </si>
  <si>
    <t>Προημιτελικοί</t>
  </si>
  <si>
    <t>Ημιτελικοί</t>
  </si>
  <si>
    <t>Μικρός Τελικός</t>
  </si>
  <si>
    <t>Τελικός</t>
  </si>
  <si>
    <t>Όμιλος</t>
  </si>
  <si>
    <t>ΑΓ</t>
  </si>
  <si>
    <t>Ν</t>
  </si>
  <si>
    <t>Ι</t>
  </si>
  <si>
    <t xml:space="preserve">Η </t>
  </si>
  <si>
    <t>Υ-Κ</t>
  </si>
  <si>
    <t>ΒΘ</t>
  </si>
  <si>
    <t>Κυρ</t>
  </si>
  <si>
    <t>Δευ</t>
  </si>
  <si>
    <t>Τρι</t>
  </si>
  <si>
    <t>Τετ</t>
  </si>
  <si>
    <t>Πεμ</t>
  </si>
  <si>
    <t>Παρ</t>
  </si>
  <si>
    <t>Σαβ</t>
  </si>
  <si>
    <t>Ιαν</t>
  </si>
  <si>
    <t>Φεβ</t>
  </si>
  <si>
    <t>Μαρ</t>
  </si>
  <si>
    <t>Απρ</t>
  </si>
  <si>
    <t>Μαϊ</t>
  </si>
  <si>
    <t>Ιουν</t>
  </si>
  <si>
    <t>Ιουλ</t>
  </si>
  <si>
    <t>Αυγ</t>
  </si>
  <si>
    <t>Σεπ</t>
  </si>
  <si>
    <t>Οκτ</t>
  </si>
  <si>
    <t>Νοε</t>
  </si>
  <si>
    <t>Δεκ</t>
  </si>
  <si>
    <t>Ομάδα</t>
  </si>
  <si>
    <t>Μεξικό</t>
  </si>
  <si>
    <t>Ουρουγουάη</t>
  </si>
  <si>
    <t>Γαλλία</t>
  </si>
  <si>
    <t>Αργεντινή</t>
  </si>
  <si>
    <t>Νιγηρία</t>
  </si>
  <si>
    <t>Ελλάδα</t>
  </si>
  <si>
    <t>Αγγλία</t>
  </si>
  <si>
    <t>ΗΠΑ</t>
  </si>
  <si>
    <t>Αλγερία</t>
  </si>
  <si>
    <t>Γερμανία</t>
  </si>
  <si>
    <t>Αυστραλία</t>
  </si>
  <si>
    <t>Γκάνα</t>
  </si>
  <si>
    <t>Ολλανδία</t>
  </si>
  <si>
    <t>Ιαπωνία</t>
  </si>
  <si>
    <t>Καμερούν</t>
  </si>
  <si>
    <t>Ιταλία</t>
  </si>
  <si>
    <t>Βραζιλία</t>
  </si>
  <si>
    <t>Πορτογαλία</t>
  </si>
  <si>
    <t>Ισπανία</t>
  </si>
  <si>
    <t>Ελβετία</t>
  </si>
  <si>
    <t>Ονδούρα</t>
  </si>
  <si>
    <t>Χιλή</t>
  </si>
  <si>
    <t>1Γ</t>
  </si>
  <si>
    <t>2Γ</t>
  </si>
  <si>
    <t>1Δ</t>
  </si>
  <si>
    <t>2Δ</t>
  </si>
  <si>
    <t>1Ε</t>
  </si>
  <si>
    <t>2Ε</t>
  </si>
  <si>
    <t>1ΣΤ</t>
  </si>
  <si>
    <t>2ΣΤ</t>
  </si>
  <si>
    <t>1Ζ</t>
  </si>
  <si>
    <t>2Ζ</t>
  </si>
  <si>
    <t>Ν49</t>
  </si>
  <si>
    <t>Ν50</t>
  </si>
  <si>
    <t>Ν51</t>
  </si>
  <si>
    <t>Ν52</t>
  </si>
  <si>
    <t>Ν53</t>
  </si>
  <si>
    <t>Ν54</t>
  </si>
  <si>
    <t>Ν55</t>
  </si>
  <si>
    <t>Ν56</t>
  </si>
  <si>
    <t>Ν57</t>
  </si>
  <si>
    <t>Ν58</t>
  </si>
  <si>
    <t>Ν59</t>
  </si>
  <si>
    <t>Ν60</t>
  </si>
  <si>
    <t>Ν61</t>
  </si>
  <si>
    <t>Ν62</t>
  </si>
  <si>
    <t>Η61</t>
  </si>
  <si>
    <t>Η62</t>
  </si>
  <si>
    <t>Greek</t>
  </si>
  <si>
    <t>Semifinali</t>
  </si>
  <si>
    <t>Gruppo</t>
  </si>
  <si>
    <t>Punti</t>
  </si>
  <si>
    <t>Dom</t>
  </si>
  <si>
    <t>Lun</t>
  </si>
  <si>
    <t>Mer</t>
  </si>
  <si>
    <t>Gio</t>
  </si>
  <si>
    <t>Ven</t>
  </si>
  <si>
    <t>Mag</t>
  </si>
  <si>
    <t>Giu</t>
  </si>
  <si>
    <t>Lug</t>
  </si>
  <si>
    <t>Ott</t>
  </si>
  <si>
    <t>Squadra</t>
  </si>
  <si>
    <t>Messico</t>
  </si>
  <si>
    <t>Inghilterra</t>
  </si>
  <si>
    <t>Germania</t>
  </si>
  <si>
    <t>Olanda</t>
  </si>
  <si>
    <t>Giappone</t>
  </si>
  <si>
    <t>Brasile</t>
  </si>
  <si>
    <t>Portogallo</t>
  </si>
  <si>
    <t>Spagna</t>
  </si>
  <si>
    <t>Svizzera</t>
  </si>
  <si>
    <t>Cile</t>
  </si>
  <si>
    <t>V49</t>
  </si>
  <si>
    <t>V50</t>
  </si>
  <si>
    <t>V51</t>
  </si>
  <si>
    <t>V52</t>
  </si>
  <si>
    <t>V53</t>
  </si>
  <si>
    <t>V54</t>
  </si>
  <si>
    <t>V55</t>
  </si>
  <si>
    <t>V56</t>
  </si>
  <si>
    <t>V57</t>
  </si>
  <si>
    <t>V58</t>
  </si>
  <si>
    <t>V59</t>
  </si>
  <si>
    <t>V60</t>
  </si>
  <si>
    <t>Italian</t>
  </si>
  <si>
    <t>Azerbaijan</t>
  </si>
  <si>
    <t>Qrup Mərhələsi</t>
  </si>
  <si>
    <t>16-da bir raund</t>
  </si>
  <si>
    <t>Dörddə bir Final</t>
  </si>
  <si>
    <t>Yarım Final</t>
  </si>
  <si>
    <t>Üçüncü Yer Uğrunda</t>
  </si>
  <si>
    <t>Qrup</t>
  </si>
  <si>
    <t>Q</t>
  </si>
  <si>
    <t>H</t>
  </si>
  <si>
    <t>QV - QB</t>
  </si>
  <si>
    <t>Xal</t>
  </si>
  <si>
    <t>BE</t>
  </si>
  <si>
    <t>ÇA</t>
  </si>
  <si>
    <t>Ç</t>
  </si>
  <si>
    <t>CA</t>
  </si>
  <si>
    <t>C</t>
  </si>
  <si>
    <t>Ş</t>
  </si>
  <si>
    <t>Yan</t>
  </si>
  <si>
    <t>Fev</t>
  </si>
  <si>
    <t>İyn</t>
  </si>
  <si>
    <t>İyl</t>
  </si>
  <si>
    <t>Avq</t>
  </si>
  <si>
    <t>Noy</t>
  </si>
  <si>
    <t>Dek</t>
  </si>
  <si>
    <t>Komanda</t>
  </si>
  <si>
    <t>Uruqvay</t>
  </si>
  <si>
    <t>Koreya Respublikası</t>
  </si>
  <si>
    <t>Yunanıstan</t>
  </si>
  <si>
    <t>İngiltərə</t>
  </si>
  <si>
    <t>Almaniya</t>
  </si>
  <si>
    <t>Avstraliya</t>
  </si>
  <si>
    <t>Hollandiya</t>
  </si>
  <si>
    <t>Yaponiya</t>
  </si>
  <si>
    <t>İtaliya</t>
  </si>
  <si>
    <t>Braziliya</t>
  </si>
  <si>
    <t>Portuqaliya</t>
  </si>
  <si>
    <t>İspaniya</t>
  </si>
  <si>
    <t>İsveçrə</t>
  </si>
  <si>
    <t>Çili</t>
  </si>
  <si>
    <t>Q49</t>
  </si>
  <si>
    <t>Q50</t>
  </si>
  <si>
    <t>Q51</t>
  </si>
  <si>
    <t>Q52</t>
  </si>
  <si>
    <t>Q53</t>
  </si>
  <si>
    <t>Q54</t>
  </si>
  <si>
    <t>Q55</t>
  </si>
  <si>
    <t>Q56</t>
  </si>
  <si>
    <t>Q57</t>
  </si>
  <si>
    <t>Q58</t>
  </si>
  <si>
    <t>Q59</t>
  </si>
  <si>
    <t>Q60</t>
  </si>
  <si>
    <t>Q61</t>
  </si>
  <si>
    <t>Q62</t>
  </si>
  <si>
    <t>Bulgarian</t>
  </si>
  <si>
    <t>Групова фаза</t>
  </si>
  <si>
    <t>1/8 - финали</t>
  </si>
  <si>
    <t>1/4 - финали</t>
  </si>
  <si>
    <t>1/2 - финали</t>
  </si>
  <si>
    <t>Мач за трето място</t>
  </si>
  <si>
    <t>Група</t>
  </si>
  <si>
    <t>М</t>
  </si>
  <si>
    <t>Р</t>
  </si>
  <si>
    <t>З</t>
  </si>
  <si>
    <t>Гол. Разл.</t>
  </si>
  <si>
    <t>Т</t>
  </si>
  <si>
    <t>Нед</t>
  </si>
  <si>
    <t>Пон</t>
  </si>
  <si>
    <t>Сря</t>
  </si>
  <si>
    <t>Четв</t>
  </si>
  <si>
    <t>Пет</t>
  </si>
  <si>
    <t>Съб</t>
  </si>
  <si>
    <t>Януари</t>
  </si>
  <si>
    <t>Февруари</t>
  </si>
  <si>
    <t>Март</t>
  </si>
  <si>
    <t>Април</t>
  </si>
  <si>
    <t>Юни</t>
  </si>
  <si>
    <t>Юли</t>
  </si>
  <si>
    <t>Август</t>
  </si>
  <si>
    <t>Септември</t>
  </si>
  <si>
    <t>Октомври</t>
  </si>
  <si>
    <t>Ноември</t>
  </si>
  <si>
    <t>Декември</t>
  </si>
  <si>
    <t>Отбор</t>
  </si>
  <si>
    <t>Мексико</t>
  </si>
  <si>
    <t>Аржентина</t>
  </si>
  <si>
    <t>Гърция</t>
  </si>
  <si>
    <t>САЩ</t>
  </si>
  <si>
    <t>Холандия</t>
  </si>
  <si>
    <t>Хондурас</t>
  </si>
  <si>
    <t>分組賽</t>
  </si>
  <si>
    <t>十六強</t>
  </si>
  <si>
    <t>八強</t>
  </si>
  <si>
    <t>準決賽</t>
  </si>
  <si>
    <t>季軍賽</t>
  </si>
  <si>
    <t>總決賽</t>
  </si>
  <si>
    <t>小組</t>
  </si>
  <si>
    <t>賽</t>
  </si>
  <si>
    <t>勝</t>
  </si>
  <si>
    <t>和</t>
  </si>
  <si>
    <t>負</t>
  </si>
  <si>
    <t>得球 - 失球</t>
  </si>
  <si>
    <t>分數</t>
  </si>
  <si>
    <t>隊伍</t>
  </si>
  <si>
    <t>墨西哥</t>
  </si>
  <si>
    <t>烏拉圭</t>
  </si>
  <si>
    <t>法國</t>
  </si>
  <si>
    <t>阿根廷</t>
  </si>
  <si>
    <t>尼日利亞</t>
  </si>
  <si>
    <t>希臘</t>
  </si>
  <si>
    <t>美國</t>
  </si>
  <si>
    <t>阿爾及利亞</t>
  </si>
  <si>
    <t>德國</t>
  </si>
  <si>
    <t>澳大利亞</t>
  </si>
  <si>
    <t>加納</t>
  </si>
  <si>
    <t>荷蘭</t>
  </si>
  <si>
    <t>日本</t>
  </si>
  <si>
    <t>喀麥隆</t>
  </si>
  <si>
    <t>意大利</t>
  </si>
  <si>
    <t>巴西</t>
  </si>
  <si>
    <t>葡萄牙</t>
  </si>
  <si>
    <t>西班牙</t>
  </si>
  <si>
    <t>瑞士</t>
  </si>
  <si>
    <t>洪都拉斯</t>
  </si>
  <si>
    <t>智利</t>
  </si>
  <si>
    <t>Macedonian</t>
  </si>
  <si>
    <t>Фаза по групи</t>
  </si>
  <si>
    <t>1/8 финале</t>
  </si>
  <si>
    <t>1/4 финале</t>
  </si>
  <si>
    <t>1/2 финале</t>
  </si>
  <si>
    <t>Натпревар за трето место</t>
  </si>
  <si>
    <t>Финале</t>
  </si>
  <si>
    <t>Вто</t>
  </si>
  <si>
    <t>Сре</t>
  </si>
  <si>
    <t>Чет</t>
  </si>
  <si>
    <t>Саб</t>
  </si>
  <si>
    <t>Јан</t>
  </si>
  <si>
    <t>Мај</t>
  </si>
  <si>
    <t>Јун</t>
  </si>
  <si>
    <t>Јул</t>
  </si>
  <si>
    <t>Сеп</t>
  </si>
  <si>
    <t>Ное</t>
  </si>
  <si>
    <t>Тим</t>
  </si>
  <si>
    <t>Уругвај</t>
  </si>
  <si>
    <t>Франција</t>
  </si>
  <si>
    <t>Нигерија</t>
  </si>
  <si>
    <t>Република Кореја</t>
  </si>
  <si>
    <t>Грција</t>
  </si>
  <si>
    <t>Англија</t>
  </si>
  <si>
    <t>САД</t>
  </si>
  <si>
    <t>Холандија</t>
  </si>
  <si>
    <t>Јапонија</t>
  </si>
  <si>
    <t>Италија</t>
  </si>
  <si>
    <t>Бразил</t>
  </si>
  <si>
    <t>Португалија</t>
  </si>
  <si>
    <t>Шпанија</t>
  </si>
  <si>
    <t>Швајцарија</t>
  </si>
  <si>
    <t>Чиле</t>
  </si>
  <si>
    <t>П49</t>
  </si>
  <si>
    <t>П50</t>
  </si>
  <si>
    <t>П51</t>
  </si>
  <si>
    <t>П52</t>
  </si>
  <si>
    <t>П53</t>
  </si>
  <si>
    <t>П54</t>
  </si>
  <si>
    <t>П55</t>
  </si>
  <si>
    <t>П56</t>
  </si>
  <si>
    <t>П57</t>
  </si>
  <si>
    <t>П58</t>
  </si>
  <si>
    <t>П59</t>
  </si>
  <si>
    <t>П60</t>
  </si>
  <si>
    <t>П61</t>
  </si>
  <si>
    <t>П62</t>
  </si>
  <si>
    <t>И61</t>
  </si>
  <si>
    <t>И62</t>
  </si>
  <si>
    <t>Seg</t>
  </si>
  <si>
    <t>Ter</t>
  </si>
  <si>
    <t>Qua</t>
  </si>
  <si>
    <t>Qui</t>
  </si>
  <si>
    <t>Sex</t>
  </si>
  <si>
    <t>Out</t>
  </si>
  <si>
    <t>Nigéria</t>
  </si>
  <si>
    <t>Grécia</t>
  </si>
  <si>
    <t>EUA</t>
  </si>
  <si>
    <t>Algéria</t>
  </si>
  <si>
    <t>Alemanha</t>
  </si>
  <si>
    <t>Japão</t>
  </si>
  <si>
    <t>Camarões</t>
  </si>
  <si>
    <t>Espanha</t>
  </si>
  <si>
    <t>Suíça</t>
  </si>
  <si>
    <t>О</t>
  </si>
  <si>
    <t>Разлика</t>
  </si>
  <si>
    <t>Б</t>
  </si>
  <si>
    <t>Danish</t>
  </si>
  <si>
    <t>Gruppespil</t>
  </si>
  <si>
    <t>Runde af 16</t>
  </si>
  <si>
    <t>Kvartfinale</t>
  </si>
  <si>
    <t>Semifinale</t>
  </si>
  <si>
    <t>Tredjeplads Kamp</t>
  </si>
  <si>
    <t>Uafgjort</t>
  </si>
  <si>
    <t>T</t>
  </si>
  <si>
    <t>MF - MI</t>
  </si>
  <si>
    <t>Søn</t>
  </si>
  <si>
    <t>Man</t>
  </si>
  <si>
    <t>Tir</t>
  </si>
  <si>
    <t>Ons</t>
  </si>
  <si>
    <t>Tor</t>
  </si>
  <si>
    <t>Fre</t>
  </si>
  <si>
    <t>Lør</t>
  </si>
  <si>
    <t>Maj</t>
  </si>
  <si>
    <t>Hold</t>
  </si>
  <si>
    <t>Frankrig</t>
  </si>
  <si>
    <t>Grækenland</t>
  </si>
  <si>
    <t>Algeriet</t>
  </si>
  <si>
    <t>Tyskland</t>
  </si>
  <si>
    <t>Holland</t>
  </si>
  <si>
    <t>T61</t>
  </si>
  <si>
    <t>T62</t>
  </si>
  <si>
    <t>Georgian</t>
  </si>
  <si>
    <t>ჯგუფური ეტაპი</t>
  </si>
  <si>
    <t>მერვედფინალი</t>
  </si>
  <si>
    <t>მეოთხედფინალი</t>
  </si>
  <si>
    <t>ნახევარფინალი</t>
  </si>
  <si>
    <t>მესამე ადგილი</t>
  </si>
  <si>
    <t>ფინალი</t>
  </si>
  <si>
    <t>ჯგუფი</t>
  </si>
  <si>
    <t>თ</t>
  </si>
  <si>
    <t>მოგ</t>
  </si>
  <si>
    <t>ფრე</t>
  </si>
  <si>
    <t>წაგ</t>
  </si>
  <si>
    <t>გგ - მგ</t>
  </si>
  <si>
    <t>ქულა</t>
  </si>
  <si>
    <t>კვირა</t>
  </si>
  <si>
    <t>ორშ</t>
  </si>
  <si>
    <t>სამშ</t>
  </si>
  <si>
    <t>ოთხშ</t>
  </si>
  <si>
    <t>ხუთშ</t>
  </si>
  <si>
    <t>პარ</t>
  </si>
  <si>
    <t>შაბ</t>
  </si>
  <si>
    <t>იან</t>
  </si>
  <si>
    <t>თებ</t>
  </si>
  <si>
    <t>მარ</t>
  </si>
  <si>
    <t>აპრ</t>
  </si>
  <si>
    <t>მაი</t>
  </si>
  <si>
    <t>ივნ</t>
  </si>
  <si>
    <t>ივლ</t>
  </si>
  <si>
    <t>აგვ</t>
  </si>
  <si>
    <t>სექ</t>
  </si>
  <si>
    <t>ოქტ</t>
  </si>
  <si>
    <t>ნოე</t>
  </si>
  <si>
    <t>დეკ</t>
  </si>
  <si>
    <t>ნაკრები</t>
  </si>
  <si>
    <t>ჰოლანდია</t>
  </si>
  <si>
    <t>იაპონია</t>
  </si>
  <si>
    <t>ბრაზილია</t>
  </si>
  <si>
    <t>ჩილე</t>
  </si>
  <si>
    <t>მ49</t>
  </si>
  <si>
    <t>მ50</t>
  </si>
  <si>
    <t>მ51</t>
  </si>
  <si>
    <t>მ52</t>
  </si>
  <si>
    <t>მ53</t>
  </si>
  <si>
    <t>მ54</t>
  </si>
  <si>
    <t>მ55</t>
  </si>
  <si>
    <t>მ56</t>
  </si>
  <si>
    <t>მ57</t>
  </si>
  <si>
    <t>მ58</t>
  </si>
  <si>
    <t>მ59</t>
  </si>
  <si>
    <t>მ60</t>
  </si>
  <si>
    <t>მ61</t>
  </si>
  <si>
    <t>მ62</t>
  </si>
  <si>
    <t>წ61</t>
  </si>
  <si>
    <t>წ62</t>
  </si>
  <si>
    <t>Hungarian</t>
  </si>
  <si>
    <t>Csoportkörök</t>
  </si>
  <si>
    <t>Nyolcaddöntők</t>
  </si>
  <si>
    <t>Negyeddöntők</t>
  </si>
  <si>
    <t>Elődöntők</t>
  </si>
  <si>
    <t>Bronzmeccs</t>
  </si>
  <si>
    <t>Döntő</t>
  </si>
  <si>
    <t>Csoport</t>
  </si>
  <si>
    <t>GY</t>
  </si>
  <si>
    <t>Gólkül.</t>
  </si>
  <si>
    <t>Vas</t>
  </si>
  <si>
    <t>Hét</t>
  </si>
  <si>
    <t>Ke</t>
  </si>
  <si>
    <t>Sze</t>
  </si>
  <si>
    <t>Csü</t>
  </si>
  <si>
    <t>Pé</t>
  </si>
  <si>
    <t>Szo</t>
  </si>
  <si>
    <t>Már</t>
  </si>
  <si>
    <t>Ápr</t>
  </si>
  <si>
    <t>Máj</t>
  </si>
  <si>
    <t>Jún</t>
  </si>
  <si>
    <t>Júl</t>
  </si>
  <si>
    <t>Szep</t>
  </si>
  <si>
    <t>Csapat</t>
  </si>
  <si>
    <t>Mexikó</t>
  </si>
  <si>
    <t>Franciaország</t>
  </si>
  <si>
    <t>Argentína</t>
  </si>
  <si>
    <t>Dél-Korea</t>
  </si>
  <si>
    <t>Görögország</t>
  </si>
  <si>
    <t>Anglia</t>
  </si>
  <si>
    <t>Németország</t>
  </si>
  <si>
    <t>Ausztrália</t>
  </si>
  <si>
    <t>Ghána</t>
  </si>
  <si>
    <t>Hollandia</t>
  </si>
  <si>
    <t>Japán</t>
  </si>
  <si>
    <t>Olaszország</t>
  </si>
  <si>
    <t>Brazília</t>
  </si>
  <si>
    <t>Elefántcsontpart</t>
  </si>
  <si>
    <t>Portugália</t>
  </si>
  <si>
    <t>Spanyolország</t>
  </si>
  <si>
    <t>Svájc</t>
  </si>
  <si>
    <t>GY49</t>
  </si>
  <si>
    <t>GY50</t>
  </si>
  <si>
    <t>GY51</t>
  </si>
  <si>
    <t>GY52</t>
  </si>
  <si>
    <t>GY53</t>
  </si>
  <si>
    <t>GY54</t>
  </si>
  <si>
    <t>GY55</t>
  </si>
  <si>
    <t>GY56</t>
  </si>
  <si>
    <t>GY57</t>
  </si>
  <si>
    <t>GY58</t>
  </si>
  <si>
    <t>GY59</t>
  </si>
  <si>
    <t>GY60</t>
  </si>
  <si>
    <t>GY61</t>
  </si>
  <si>
    <t>GY62</t>
  </si>
  <si>
    <t>A labdarúgó-VB győztes csapata:</t>
  </si>
  <si>
    <t>Czech</t>
  </si>
  <si>
    <t>Základní skupiny</t>
  </si>
  <si>
    <t>Osmifinále</t>
  </si>
  <si>
    <t>Čtvrtfinále</t>
  </si>
  <si>
    <t>Semifinále</t>
  </si>
  <si>
    <t>Zápas o 3.místo</t>
  </si>
  <si>
    <t>Finále</t>
  </si>
  <si>
    <t>Skupina</t>
  </si>
  <si>
    <t>Z</t>
  </si>
  <si>
    <t>GV - GI</t>
  </si>
  <si>
    <t>Body</t>
  </si>
  <si>
    <t>Ne</t>
  </si>
  <si>
    <t>Po</t>
  </si>
  <si>
    <t>Út</t>
  </si>
  <si>
    <t>St</t>
  </si>
  <si>
    <t>Čt</t>
  </si>
  <si>
    <t>Pá</t>
  </si>
  <si>
    <t>So</t>
  </si>
  <si>
    <t>Čer</t>
  </si>
  <si>
    <t>Čec</t>
  </si>
  <si>
    <t>Francie</t>
  </si>
  <si>
    <t>Nigérie</t>
  </si>
  <si>
    <t>Řecko</t>
  </si>
  <si>
    <t>Anglie</t>
  </si>
  <si>
    <t>Alžírsko</t>
  </si>
  <si>
    <t>Německo</t>
  </si>
  <si>
    <t>Austrálie</t>
  </si>
  <si>
    <t>Nizozemí</t>
  </si>
  <si>
    <t>Japonsko</t>
  </si>
  <si>
    <t>Itálie</t>
  </si>
  <si>
    <t>Brazílie</t>
  </si>
  <si>
    <t>Pobřeží slonoviny</t>
  </si>
  <si>
    <t>Portugalsko</t>
  </si>
  <si>
    <t>Španělsko</t>
  </si>
  <si>
    <t>Švýcarsko</t>
  </si>
  <si>
    <t>Čile</t>
  </si>
  <si>
    <t>Vietnamese</t>
  </si>
  <si>
    <t>Vòng Bảng</t>
  </si>
  <si>
    <t>Vòng 1/16</t>
  </si>
  <si>
    <t>Tứ kết</t>
  </si>
  <si>
    <t>Bán kết</t>
  </si>
  <si>
    <t>Tranh hạng 3</t>
  </si>
  <si>
    <t>Chung Kết</t>
  </si>
  <si>
    <t>Bảng</t>
  </si>
  <si>
    <t>Trận</t>
  </si>
  <si>
    <t>Hiệu số</t>
  </si>
  <si>
    <t>Điểm</t>
  </si>
  <si>
    <t>CN</t>
  </si>
  <si>
    <t>T2</t>
  </si>
  <si>
    <t>T3</t>
  </si>
  <si>
    <t>T4</t>
  </si>
  <si>
    <t>T5</t>
  </si>
  <si>
    <t>T6</t>
  </si>
  <si>
    <t>T7</t>
  </si>
  <si>
    <t>Tháng 1</t>
  </si>
  <si>
    <t>Tháng 2</t>
  </si>
  <si>
    <t>Tháng 3</t>
  </si>
  <si>
    <t>Tháng 4</t>
  </si>
  <si>
    <t>Tháng 5</t>
  </si>
  <si>
    <t>Tháng 6</t>
  </si>
  <si>
    <t>Tháng 7</t>
  </si>
  <si>
    <t>Tháng 8</t>
  </si>
  <si>
    <t>Tháng 9</t>
  </si>
  <si>
    <t>Tháng 10</t>
  </si>
  <si>
    <t>Tháng 11</t>
  </si>
  <si>
    <t>Tháng 12</t>
  </si>
  <si>
    <t>Đội</t>
  </si>
  <si>
    <t>Pháp</t>
  </si>
  <si>
    <t>Hàn Quốc</t>
  </si>
  <si>
    <t>Anh</t>
  </si>
  <si>
    <t>Đức</t>
  </si>
  <si>
    <t>Hà Lan</t>
  </si>
  <si>
    <t>Nhật Bản</t>
  </si>
  <si>
    <t>Ý</t>
  </si>
  <si>
    <t>B-ra-xin</t>
  </si>
  <si>
    <t>Bồ Đào Nha</t>
  </si>
  <si>
    <t>Chi-lê</t>
  </si>
  <si>
    <t>T49</t>
  </si>
  <si>
    <t>T50</t>
  </si>
  <si>
    <t>T51</t>
  </si>
  <si>
    <t>T52</t>
  </si>
  <si>
    <t>T53</t>
  </si>
  <si>
    <t>T54</t>
  </si>
  <si>
    <t>T55</t>
  </si>
  <si>
    <t>T56</t>
  </si>
  <si>
    <t>T57</t>
  </si>
  <si>
    <t>T58</t>
  </si>
  <si>
    <t>T59</t>
  </si>
  <si>
    <t>T60</t>
  </si>
  <si>
    <t>B61</t>
  </si>
  <si>
    <t>B62</t>
  </si>
  <si>
    <t>Korean</t>
  </si>
  <si>
    <t>조별 리그</t>
  </si>
  <si>
    <t>준결승전</t>
  </si>
  <si>
    <t>결승전</t>
  </si>
  <si>
    <t>그룹</t>
  </si>
  <si>
    <t>경기</t>
  </si>
  <si>
    <t>승</t>
  </si>
  <si>
    <t>무</t>
  </si>
  <si>
    <t>패</t>
  </si>
  <si>
    <t>골득실</t>
  </si>
  <si>
    <t>승점</t>
  </si>
  <si>
    <t>일</t>
  </si>
  <si>
    <t>월</t>
  </si>
  <si>
    <t>화</t>
  </si>
  <si>
    <t>수</t>
  </si>
  <si>
    <t>목</t>
  </si>
  <si>
    <t>금</t>
  </si>
  <si>
    <t>토</t>
  </si>
  <si>
    <t>팀</t>
  </si>
  <si>
    <t>멕시코</t>
  </si>
  <si>
    <t>우루과이</t>
  </si>
  <si>
    <t>프랑스</t>
  </si>
  <si>
    <t>아르헨티나</t>
  </si>
  <si>
    <t>나이지리아</t>
  </si>
  <si>
    <t>그리스</t>
  </si>
  <si>
    <t>미국</t>
  </si>
  <si>
    <t>알제리</t>
  </si>
  <si>
    <t>독일</t>
  </si>
  <si>
    <t>호주</t>
  </si>
  <si>
    <t>네덜란드</t>
  </si>
  <si>
    <t>일본</t>
  </si>
  <si>
    <t>카메룬</t>
  </si>
  <si>
    <t>이탈리아</t>
  </si>
  <si>
    <t>브라질</t>
  </si>
  <si>
    <t>포르투갈</t>
  </si>
  <si>
    <t>스페인</t>
  </si>
  <si>
    <t>스위스</t>
  </si>
  <si>
    <t>온두라스</t>
  </si>
  <si>
    <t>칠레</t>
  </si>
  <si>
    <t>준결승 경기1 승자</t>
  </si>
  <si>
    <t>Romanian</t>
  </si>
  <si>
    <t>Faza Grupelor</t>
  </si>
  <si>
    <t>Optimi</t>
  </si>
  <si>
    <t>Sferturi de finala</t>
  </si>
  <si>
    <t>Finala mica</t>
  </si>
  <si>
    <t>FINALA</t>
  </si>
  <si>
    <t>Grupa</t>
  </si>
  <si>
    <t>I</t>
  </si>
  <si>
    <t>GM - GP</t>
  </si>
  <si>
    <t>Dum</t>
  </si>
  <si>
    <t>Mie</t>
  </si>
  <si>
    <t>Joi</t>
  </si>
  <si>
    <t>Vin</t>
  </si>
  <si>
    <t>Sam</t>
  </si>
  <si>
    <t>Ian</t>
  </si>
  <si>
    <t>Iun</t>
  </si>
  <si>
    <t>Iul</t>
  </si>
  <si>
    <t>Noi</t>
  </si>
  <si>
    <t>Echipa</t>
  </si>
  <si>
    <t>Mexic</t>
  </si>
  <si>
    <t>Japonia</t>
  </si>
  <si>
    <t>Brazilia</t>
  </si>
  <si>
    <t>Portugalia</t>
  </si>
  <si>
    <t>Spania</t>
  </si>
  <si>
    <t>C49</t>
  </si>
  <si>
    <t>C50</t>
  </si>
  <si>
    <t>C51</t>
  </si>
  <si>
    <t>C52</t>
  </si>
  <si>
    <t>C53</t>
  </si>
  <si>
    <t>C54</t>
  </si>
  <si>
    <t>C55</t>
  </si>
  <si>
    <t>C56</t>
  </si>
  <si>
    <t>C57</t>
  </si>
  <si>
    <t>C58</t>
  </si>
  <si>
    <t>C59</t>
  </si>
  <si>
    <t>C60</t>
  </si>
  <si>
    <t>C61</t>
  </si>
  <si>
    <t>C62</t>
  </si>
  <si>
    <t>Serbian</t>
  </si>
  <si>
    <t>Grupno takmičenje</t>
  </si>
  <si>
    <t>Šesnaestina finala</t>
  </si>
  <si>
    <t>Četvrtfinale</t>
  </si>
  <si>
    <t>Polufinale</t>
  </si>
  <si>
    <t>2014 World Cup Final Tournament Schedule</t>
  </si>
  <si>
    <t>Kupa Botërore 2014</t>
  </si>
  <si>
    <t>جدول مباريات كأس العالم 2014</t>
  </si>
  <si>
    <t xml:space="preserve">Աշխարհի 2014թ. առաջնություն </t>
  </si>
  <si>
    <t>2014 - cu il Dünya Çempionatinin Final Mərhələsinin Cədvəli</t>
  </si>
  <si>
    <t>График на срещите - Световно първенство 2014</t>
  </si>
  <si>
    <t>Calendari de la Fase Final de la Copa del Món de futbol 2014</t>
  </si>
  <si>
    <t>2014 世界盃賽程</t>
  </si>
  <si>
    <t>Svjetsko prvenstvo 2014 raspored utakmica</t>
  </si>
  <si>
    <t>Mistrovství světa ve fotbale 2014</t>
  </si>
  <si>
    <t>2014 Verdensmesterskabs Oversigt</t>
  </si>
  <si>
    <t>Wereldkampioenschap 2014 Toernooischema</t>
  </si>
  <si>
    <t>جدول مسابقات فینال جام جهانی 2014</t>
  </si>
  <si>
    <t>Coupe du Monde de la FIFA 2014 - Calendrier des matchs</t>
  </si>
  <si>
    <t>მსოფლიო ჩემპიონატი ფეხბურთში - სამხრეთ აფრიკა 2014</t>
  </si>
  <si>
    <t>Spielplan Weltmeisterschafts endrunde 2014</t>
  </si>
  <si>
    <t>Πρόγραμμα Τελικών Παγκοσμίου Κυπέλλου 2014</t>
  </si>
  <si>
    <t>2014 גביע העולם טורניר הגמר תזמן</t>
  </si>
  <si>
    <t>2014 Labdarúgó-világbajnokság döntő sorozata</t>
  </si>
  <si>
    <t>Jadwal Turnamen Final Piala Dunia 2014</t>
  </si>
  <si>
    <t>HM 2014 lokakeppnin</t>
  </si>
  <si>
    <t>Calendario Coppa del mondo 2014</t>
  </si>
  <si>
    <t>2014 월드컵 최종 토너먼트 일정</t>
  </si>
  <si>
    <t>2014 Pasaulio Futbolo Čempionato Tvarkaraštis</t>
  </si>
  <si>
    <t>Светски првенство 2014 - Распоред на натпревари</t>
  </si>
  <si>
    <t>Skeda tat-Tazza tad-Dinja 2014</t>
  </si>
  <si>
    <t>Verdensmesterskapet i fotball 2014</t>
  </si>
  <si>
    <t>2014 Mistrzostwa Świata Terminarz Meczy</t>
  </si>
  <si>
    <t>Calendário Fase Final Mundial 2014</t>
  </si>
  <si>
    <t>Programul Turneului Final FIFA World Cup 2014</t>
  </si>
  <si>
    <t>Расписание Игр Финальной Стадии Чемпионата Мира по Футболу 2014</t>
  </si>
  <si>
    <t>Svetsko prvenstvo u fudbalu 2014 - Raspored utakmica</t>
  </si>
  <si>
    <t>Majstrovstvá sveta vo futbale 2014</t>
  </si>
  <si>
    <t>Svetovno prvenstvo 2014 razpored tekem</t>
  </si>
  <si>
    <t>Schema för VM-slutspelet 2014</t>
  </si>
  <si>
    <t>ตารางการแข่งขันฟุตบอลโลก 2014</t>
  </si>
  <si>
    <t>2014 Dünya Kupası Finalleri Turnuva Fikstürü</t>
  </si>
  <si>
    <t>Lịch Thi Đấu Cúp Bóng Đá Thế Giới 2014</t>
  </si>
  <si>
    <t>World Champion 2014</t>
  </si>
  <si>
    <t>بطل العالم 2014</t>
  </si>
  <si>
    <t>Աշխարհի 2014թ. Հաղթող</t>
  </si>
  <si>
    <t>Dünya Çempionu 2014</t>
  </si>
  <si>
    <t>Световен шампион 2014</t>
  </si>
  <si>
    <t>Campió del Món 2014</t>
  </si>
  <si>
    <t>2014世界杯冠军</t>
  </si>
  <si>
    <t>Svjetski prvak 2014</t>
  </si>
  <si>
    <t>Mistr světa 2014</t>
  </si>
  <si>
    <t>Verdensmester 2014</t>
  </si>
  <si>
    <t>Wereldkampioen 2014</t>
  </si>
  <si>
    <t>قهرمان جام جهانی 2014</t>
  </si>
  <si>
    <t>Champion du Monde 2014</t>
  </si>
  <si>
    <t>მსოფლიოს ჩემპიონი 2014</t>
  </si>
  <si>
    <t>Weltmeister 2014</t>
  </si>
  <si>
    <t>Πρωταθλητής 2014</t>
  </si>
  <si>
    <t>גביע העולם 2014</t>
  </si>
  <si>
    <t>Juara Piala Dunia 2014</t>
  </si>
  <si>
    <t>Heimsmeistarar 2014</t>
  </si>
  <si>
    <t>Coppa del Mondo 2014</t>
  </si>
  <si>
    <t>2014년 우승국가</t>
  </si>
  <si>
    <t>Pasaulio Čempionas 2014</t>
  </si>
  <si>
    <t>Светски шампион 2014</t>
  </si>
  <si>
    <t>Rebbieħ tat-Tazza tad-Dinja 2014</t>
  </si>
  <si>
    <t>Vinner 2014</t>
  </si>
  <si>
    <t>Mistrz Świata 2014</t>
  </si>
  <si>
    <t>Vencedor do Campeonato do Mundo 2014</t>
  </si>
  <si>
    <t>Campioana Mondiala 2014</t>
  </si>
  <si>
    <t>Чемпион Мира 2014</t>
  </si>
  <si>
    <t>Svjetski šampion 2014</t>
  </si>
  <si>
    <t>Majster sveta 2014</t>
  </si>
  <si>
    <t>Svetovno prvak 2014</t>
  </si>
  <si>
    <t>Campeón 2014</t>
  </si>
  <si>
    <t>Världsmästare 2014</t>
  </si>
  <si>
    <t>แชมป์โลกปี 2014</t>
  </si>
  <si>
    <t>2014 Dünya Şampiyonu</t>
  </si>
  <si>
    <t>Vòng Chung Kết 2014</t>
  </si>
  <si>
    <t>Чемпіон Світу 2014</t>
  </si>
  <si>
    <t>Croatia</t>
  </si>
  <si>
    <t>Croatie</t>
  </si>
  <si>
    <t>Kroatien</t>
  </si>
  <si>
    <t>Croacia</t>
  </si>
  <si>
    <t>Croazia</t>
  </si>
  <si>
    <t>Croácia</t>
  </si>
  <si>
    <t>Chorwacja</t>
  </si>
  <si>
    <t>Kroatija</t>
  </si>
  <si>
    <t>Croàcia</t>
  </si>
  <si>
    <t>Horvátország</t>
  </si>
  <si>
    <t>Kroatië</t>
  </si>
  <si>
    <t>Kroazja</t>
  </si>
  <si>
    <t>Chorvatsko</t>
  </si>
  <si>
    <t>Hrvaška</t>
  </si>
  <si>
    <t>Kroatia</t>
  </si>
  <si>
    <t>Hrvatska</t>
  </si>
  <si>
    <t>Хрватска</t>
  </si>
  <si>
    <t>Kroacia</t>
  </si>
  <si>
    <t>Хърватия</t>
  </si>
  <si>
    <t>Хорватия</t>
  </si>
  <si>
    <t>Хорватія</t>
  </si>
  <si>
    <t>Xorvatiya</t>
  </si>
  <si>
    <t>Hırvatistan</t>
  </si>
  <si>
    <t>Kroasia</t>
  </si>
  <si>
    <t>ხორვატია</t>
  </si>
  <si>
    <t>קרואטיה</t>
  </si>
  <si>
    <t>كرواتيا</t>
  </si>
  <si>
    <t>کرواسی</t>
  </si>
  <si>
    <t>克罗地亚</t>
  </si>
  <si>
    <t>en</t>
  </si>
  <si>
    <t>sq</t>
  </si>
  <si>
    <t>ar</t>
  </si>
  <si>
    <t>hy</t>
  </si>
  <si>
    <t>az</t>
  </si>
  <si>
    <t>bg</t>
  </si>
  <si>
    <t>ca</t>
  </si>
  <si>
    <t>zh-CN</t>
  </si>
  <si>
    <t>zh-TW</t>
  </si>
  <si>
    <t>hr</t>
  </si>
  <si>
    <t>cs</t>
  </si>
  <si>
    <t>da</t>
  </si>
  <si>
    <t>nl</t>
  </si>
  <si>
    <t>fr</t>
  </si>
  <si>
    <t>ka</t>
  </si>
  <si>
    <t>de</t>
  </si>
  <si>
    <t>el</t>
  </si>
  <si>
    <t>iw</t>
  </si>
  <si>
    <t>hu</t>
  </si>
  <si>
    <t>id</t>
  </si>
  <si>
    <t>is</t>
  </si>
  <si>
    <t>it</t>
  </si>
  <si>
    <t>ko</t>
  </si>
  <si>
    <t>lt</t>
  </si>
  <si>
    <t>mk</t>
  </si>
  <si>
    <t>mt</t>
  </si>
  <si>
    <t>no</t>
  </si>
  <si>
    <t>fa</t>
  </si>
  <si>
    <t>pl</t>
  </si>
  <si>
    <t>pt</t>
  </si>
  <si>
    <t>ro</t>
  </si>
  <si>
    <t>ru</t>
  </si>
  <si>
    <t>sr</t>
  </si>
  <si>
    <t>sk</t>
  </si>
  <si>
    <t>sl</t>
  </si>
  <si>
    <t>es</t>
  </si>
  <si>
    <t>sv</t>
  </si>
  <si>
    <t>th</t>
  </si>
  <si>
    <t>tr</t>
  </si>
  <si>
    <t>vi</t>
  </si>
  <si>
    <t>uk</t>
  </si>
  <si>
    <t>ur</t>
  </si>
  <si>
    <t>Rusi</t>
  </si>
  <si>
    <t>روسيا</t>
  </si>
  <si>
    <t>Ռուսաստան</t>
  </si>
  <si>
    <t>Rusiya</t>
  </si>
  <si>
    <t>Русия</t>
  </si>
  <si>
    <t>Rússia</t>
  </si>
  <si>
    <t>俄国</t>
  </si>
  <si>
    <t>俄國</t>
  </si>
  <si>
    <t>Rusija</t>
  </si>
  <si>
    <t>Rusko</t>
  </si>
  <si>
    <t>Rusland</t>
  </si>
  <si>
    <t>Russie</t>
  </si>
  <si>
    <t>რუსეთის</t>
  </si>
  <si>
    <t>Russland</t>
  </si>
  <si>
    <t>Ρωσία</t>
  </si>
  <si>
    <t>רוסיה</t>
  </si>
  <si>
    <t>Oroszország</t>
  </si>
  <si>
    <t>Rusia</t>
  </si>
  <si>
    <t>russia</t>
  </si>
  <si>
    <t>Russia</t>
  </si>
  <si>
    <t>러시아</t>
  </si>
  <si>
    <t>Русија</t>
  </si>
  <si>
    <t>Russja</t>
  </si>
  <si>
    <t>روسیه،</t>
  </si>
  <si>
    <t>Rosja</t>
  </si>
  <si>
    <t>Россия</t>
  </si>
  <si>
    <t>rusko</t>
  </si>
  <si>
    <t>Ryssland</t>
  </si>
  <si>
    <t>ประเทศรัสเซีย</t>
  </si>
  <si>
    <t>Rusya</t>
  </si>
  <si>
    <t>Nga</t>
  </si>
  <si>
    <t>Росія</t>
  </si>
  <si>
    <t>روس</t>
  </si>
  <si>
    <t>Խորվաթիա</t>
  </si>
  <si>
    <t>克羅地亞</t>
  </si>
  <si>
    <t>Κροατία</t>
  </si>
  <si>
    <t>크로아티아</t>
  </si>
  <si>
    <t>хрватска</t>
  </si>
  <si>
    <t>Croația</t>
  </si>
  <si>
    <t>chorvátsko</t>
  </si>
  <si>
    <t>โครเอเชีย</t>
  </si>
  <si>
    <t>کروشیا</t>
  </si>
  <si>
    <t>Meksikë</t>
  </si>
  <si>
    <t>mexico</t>
  </si>
  <si>
    <t>ประเทศเม็กซิโก</t>
  </si>
  <si>
    <t>أوروغواي</t>
  </si>
  <si>
    <t>ურუგვაის</t>
  </si>
  <si>
    <t>אורוגוואי</t>
  </si>
  <si>
    <t>Уругвајската</t>
  </si>
  <si>
    <t>ประเทศอุรุกวัย</t>
  </si>
  <si>
    <t>یوراگوئے</t>
  </si>
  <si>
    <t>Francë</t>
  </si>
  <si>
    <t>Franța</t>
  </si>
  <si>
    <t>Француска</t>
  </si>
  <si>
    <t>francúzsko</t>
  </si>
  <si>
    <t>Argjentinë</t>
  </si>
  <si>
    <t>არგენტინის</t>
  </si>
  <si>
    <t>argentína</t>
  </si>
  <si>
    <t>Nigeri</t>
  </si>
  <si>
    <t>ნიგერიის</t>
  </si>
  <si>
    <t>نائیجیریا</t>
  </si>
  <si>
    <t>جمهورية كوريا</t>
  </si>
  <si>
    <t>Կորեայի Հանրապետություն</t>
  </si>
  <si>
    <t>Република Корея</t>
  </si>
  <si>
    <t>韓國</t>
  </si>
  <si>
    <t>Jižní Korea</t>
  </si>
  <si>
    <t>კორეის რესპუბლიკა</t>
  </si>
  <si>
    <t>Δημοκρατία της Κορέας</t>
  </si>
  <si>
    <t>קוריאה רפובליקה</t>
  </si>
  <si>
    <t>Republik Korea</t>
  </si>
  <si>
    <t>Kórea</t>
  </si>
  <si>
    <t>한국</t>
  </si>
  <si>
    <t>Кореја Република</t>
  </si>
  <si>
    <t>Korea Repubblika</t>
  </si>
  <si>
    <t>República da Coréia</t>
  </si>
  <si>
    <t>Coreea de Sud</t>
  </si>
  <si>
    <t>Южная Корея</t>
  </si>
  <si>
    <t>južná Kórea</t>
  </si>
  <si>
    <t>Kore Cumhuriyeti</t>
  </si>
  <si>
    <t>جمہوریہ کوریا</t>
  </si>
  <si>
    <t>Greqi</t>
  </si>
  <si>
    <t>يونان</t>
  </si>
  <si>
    <t>საბერძნეთში</t>
  </si>
  <si>
    <t>יון</t>
  </si>
  <si>
    <t>Il-Greċja</t>
  </si>
  <si>
    <t>Грчка</t>
  </si>
  <si>
    <t>grécko</t>
  </si>
  <si>
    <t>กรีก</t>
  </si>
  <si>
    <t>Hy Lạp</t>
  </si>
  <si>
    <t>Angli</t>
  </si>
  <si>
    <t>انجلترا</t>
  </si>
  <si>
    <t>英国</t>
  </si>
  <si>
    <t>英國</t>
  </si>
  <si>
    <t>영국</t>
  </si>
  <si>
    <t>Енглеска</t>
  </si>
  <si>
    <t>انگلینڈ</t>
  </si>
  <si>
    <t>الولايات المتحدة الأمريكية</t>
  </si>
  <si>
    <t>Amerika Birləşmiş Ştatları</t>
  </si>
  <si>
    <t>Spojené státy americké</t>
  </si>
  <si>
    <t>VS</t>
  </si>
  <si>
    <t>ארצות הברית</t>
  </si>
  <si>
    <t>Amerika Serikat</t>
  </si>
  <si>
    <t>Stati Uniti d'America</t>
  </si>
  <si>
    <t>ایالات متحده</t>
  </si>
  <si>
    <t>Statele Unite ale Americii</t>
  </si>
  <si>
    <t>Spojené štáty americké</t>
  </si>
  <si>
    <t>EE.UU.</t>
  </si>
  <si>
    <t>ประเทศสหรัฐอเมริกา</t>
  </si>
  <si>
    <t>Amerika Birleşik Devletleri</t>
  </si>
  <si>
    <t>Hoa Kỳ</t>
  </si>
  <si>
    <t>امریکہ</t>
  </si>
  <si>
    <t>Algjeri</t>
  </si>
  <si>
    <t>Ալժիրի Ժողովրդավարական Դեմոկրատական ​​Հանրապետություն</t>
  </si>
  <si>
    <t>ალჟირში</t>
  </si>
  <si>
    <t>Alsír</t>
  </si>
  <si>
    <t>alžírsko</t>
  </si>
  <si>
    <t>ประเทศแอลจีเรีย</t>
  </si>
  <si>
    <t>Colombia</t>
  </si>
  <si>
    <t>Costa Rica</t>
  </si>
  <si>
    <t>Ecuador</t>
  </si>
  <si>
    <t>Bosnia-Herzegovina</t>
  </si>
  <si>
    <t>Iran</t>
  </si>
  <si>
    <t>Belgium</t>
  </si>
  <si>
    <t>Gjermani</t>
  </si>
  <si>
    <t>германија</t>
  </si>
  <si>
    <t>Немачка</t>
  </si>
  <si>
    <t>nemecko</t>
  </si>
  <si>
    <t>ประเทศเยอรมัน</t>
  </si>
  <si>
    <t>ავსტრალიაში</t>
  </si>
  <si>
    <t>Австралија</t>
  </si>
  <si>
    <t>Аустралија</t>
  </si>
  <si>
    <t>Úc</t>
  </si>
  <si>
    <t>آسٹریلیا</t>
  </si>
  <si>
    <t>Kolumbi</t>
  </si>
  <si>
    <t>كولومبيا</t>
  </si>
  <si>
    <t>Կոլումբիա</t>
  </si>
  <si>
    <t>Kolumbiya</t>
  </si>
  <si>
    <t>Колумбия</t>
  </si>
  <si>
    <t>Colòmbia</t>
  </si>
  <si>
    <t>哥伦比亚</t>
  </si>
  <si>
    <t>哥倫比亞</t>
  </si>
  <si>
    <t>Kolumbija</t>
  </si>
  <si>
    <t>Kolumbie</t>
  </si>
  <si>
    <t>Colombie</t>
  </si>
  <si>
    <t>Kolumbien</t>
  </si>
  <si>
    <t>Κολομβία</t>
  </si>
  <si>
    <t>קולומביה</t>
  </si>
  <si>
    <t>Kolumbia</t>
  </si>
  <si>
    <t>콜롬비아</t>
  </si>
  <si>
    <t>Колумбија</t>
  </si>
  <si>
    <t>Kolombja</t>
  </si>
  <si>
    <t>کلمبیا</t>
  </si>
  <si>
    <t>Colômbia</t>
  </si>
  <si>
    <t>Columbia</t>
  </si>
  <si>
    <t>kolumbia</t>
  </si>
  <si>
    <t>ประเทศโคลอมเบีย</t>
  </si>
  <si>
    <t>Kolombiya</t>
  </si>
  <si>
    <t>Колумбія</t>
  </si>
  <si>
    <t>کولمبیا</t>
  </si>
  <si>
    <t>განას</t>
  </si>
  <si>
    <t>아프리카 서부의 공화국</t>
  </si>
  <si>
    <t>گھانا</t>
  </si>
  <si>
    <t>Holandë</t>
  </si>
  <si>
    <t>Նիդեռլանդներ</t>
  </si>
  <si>
    <t>països Baixos</t>
  </si>
  <si>
    <t>Paesi Bassi</t>
  </si>
  <si>
    <t>Niderlandy</t>
  </si>
  <si>
    <t>Țările de Jos</t>
  </si>
  <si>
    <t>holandsko</t>
  </si>
  <si>
    <t>ประเทศเนเธอร์แลนด์</t>
  </si>
  <si>
    <t>نیدرلینڈ</t>
  </si>
  <si>
    <t>Kostarikë</t>
  </si>
  <si>
    <t>كوستاريكا</t>
  </si>
  <si>
    <t>Կոստա - Ռիկա</t>
  </si>
  <si>
    <t>哥斯达黎加</t>
  </si>
  <si>
    <t>哥斯達黎加</t>
  </si>
  <si>
    <t>Kostarika</t>
  </si>
  <si>
    <t>კოსტა რიკის</t>
  </si>
  <si>
    <t>Κόστα Ρίκα</t>
  </si>
  <si>
    <t>קוסטה ריקה</t>
  </si>
  <si>
    <t>Kosta Rika</t>
  </si>
  <si>
    <t>Costarica</t>
  </si>
  <si>
    <t>코스타리카</t>
  </si>
  <si>
    <t>Коста Рика</t>
  </si>
  <si>
    <t>کاستاریکا</t>
  </si>
  <si>
    <t>Kostaryka</t>
  </si>
  <si>
    <t>Коста-Рика</t>
  </si>
  <si>
    <t>Костарика</t>
  </si>
  <si>
    <t>COSTA RICA</t>
  </si>
  <si>
    <t>คอสตาริกา</t>
  </si>
  <si>
    <t>Коста -Ріка</t>
  </si>
  <si>
    <t>کوسٹا ریکا</t>
  </si>
  <si>
    <t>კამერუნის</t>
  </si>
  <si>
    <t>Камерун,</t>
  </si>
  <si>
    <t>იტალიაში</t>
  </si>
  <si>
    <t>taliansko</t>
  </si>
  <si>
    <t>اٹلی</t>
  </si>
  <si>
    <t>Ekuador</t>
  </si>
  <si>
    <t>الإكوادور</t>
  </si>
  <si>
    <t>Էկվադոր</t>
  </si>
  <si>
    <t>Ekvador</t>
  </si>
  <si>
    <t>Еквадор</t>
  </si>
  <si>
    <t>equador</t>
  </si>
  <si>
    <t>厄瓜多尔</t>
  </si>
  <si>
    <t>厄瓜多爾</t>
  </si>
  <si>
    <t>Ekvádor</t>
  </si>
  <si>
    <t>Équateur</t>
  </si>
  <si>
    <t>ეკვადორის</t>
  </si>
  <si>
    <t>Εκουαδόρ</t>
  </si>
  <si>
    <t>אקוודור</t>
  </si>
  <si>
    <t>에콰도르</t>
  </si>
  <si>
    <t>Ekvadoras</t>
  </si>
  <si>
    <t>Ekwador</t>
  </si>
  <si>
    <t>اکوادور</t>
  </si>
  <si>
    <t>Equador</t>
  </si>
  <si>
    <t>Эквадор</t>
  </si>
  <si>
    <t>เอกวาดอร์</t>
  </si>
  <si>
    <t>ایکواڈور</t>
  </si>
  <si>
    <t>Bosnje - Hercegovina</t>
  </si>
  <si>
    <t>البوسنة و الهرسك</t>
  </si>
  <si>
    <t>Բոսնիա եւ Հերցեգովինա</t>
  </si>
  <si>
    <t>Bosniya-Herseqovina</t>
  </si>
  <si>
    <t>Босна и Херцеговина</t>
  </si>
  <si>
    <t>Bòsnia i Hercegovina</t>
  </si>
  <si>
    <t>波斯尼亚和黑塞哥维那</t>
  </si>
  <si>
    <t>波斯尼亞和黑塞哥維那</t>
  </si>
  <si>
    <t>Bosnia - Herzegovina</t>
  </si>
  <si>
    <t>Bosna a Hercegovina</t>
  </si>
  <si>
    <t>Bosnien - Hercegovina</t>
  </si>
  <si>
    <t>Bosnië - Herzegovina</t>
  </si>
  <si>
    <t>Bosnie-Herzégovine</t>
  </si>
  <si>
    <t>ბოსნია და ჰერცოგოვინა</t>
  </si>
  <si>
    <t>Bosnien- Herzegowina</t>
  </si>
  <si>
    <t>Βοσνία - Ερζεγοβίνη</t>
  </si>
  <si>
    <t>בוסניה הרצגובינה</t>
  </si>
  <si>
    <t>Bosznia és Hercegovina</t>
  </si>
  <si>
    <t>Bosnía - Hersegóvína</t>
  </si>
  <si>
    <t>Bosnia - Erzegovina</t>
  </si>
  <si>
    <t>보스니아 - 헤르체고비나</t>
  </si>
  <si>
    <t>Bosnija ir Hercegovina</t>
  </si>
  <si>
    <t>Bosnia- Herzegovina</t>
  </si>
  <si>
    <t>Bosnia - Hercegovina</t>
  </si>
  <si>
    <t>بوسنی و هرزگوین</t>
  </si>
  <si>
    <t>Bośnia i Hercegowina</t>
  </si>
  <si>
    <t>Bósnia - Herzegovina</t>
  </si>
  <si>
    <t>Босния и Герцеговина</t>
  </si>
  <si>
    <t>Bosna in Hercegovina</t>
  </si>
  <si>
    <t>Bosnien och Hercegovina</t>
  </si>
  <si>
    <t>บอสเนีย</t>
  </si>
  <si>
    <t>Bosna - Hersek</t>
  </si>
  <si>
    <t>Боснія і Герцеговина</t>
  </si>
  <si>
    <t>بوسنیا</t>
  </si>
  <si>
    <t>ايران</t>
  </si>
  <si>
    <t>Իրան</t>
  </si>
  <si>
    <t>İran</t>
  </si>
  <si>
    <t>Иран</t>
  </si>
  <si>
    <t>伊朗</t>
  </si>
  <si>
    <t>Írán</t>
  </si>
  <si>
    <t>ირანის</t>
  </si>
  <si>
    <t>Ιράν</t>
  </si>
  <si>
    <t>אירן</t>
  </si>
  <si>
    <t>Irán</t>
  </si>
  <si>
    <t>Íran</t>
  </si>
  <si>
    <t>이란</t>
  </si>
  <si>
    <t>Iranas</t>
  </si>
  <si>
    <t>ایران</t>
  </si>
  <si>
    <t>Irã</t>
  </si>
  <si>
    <t>อิหร่าน</t>
  </si>
  <si>
    <t>Іран</t>
  </si>
  <si>
    <t>Belgjikë</t>
  </si>
  <si>
    <t>بلجيكا</t>
  </si>
  <si>
    <t>Բելգիա</t>
  </si>
  <si>
    <t>Belçika</t>
  </si>
  <si>
    <t>Белгия</t>
  </si>
  <si>
    <t>Bèlgica</t>
  </si>
  <si>
    <t>比利时</t>
  </si>
  <si>
    <t>比利時</t>
  </si>
  <si>
    <t>Belgija</t>
  </si>
  <si>
    <t>Belgie</t>
  </si>
  <si>
    <t>Belgien</t>
  </si>
  <si>
    <t>België</t>
  </si>
  <si>
    <t>Belgique</t>
  </si>
  <si>
    <t>ბელგიის</t>
  </si>
  <si>
    <t>Βέλγιο</t>
  </si>
  <si>
    <t>בלגיה</t>
  </si>
  <si>
    <t>Belgia</t>
  </si>
  <si>
    <t>Belgio</t>
  </si>
  <si>
    <t>벨기에</t>
  </si>
  <si>
    <t>белгија</t>
  </si>
  <si>
    <t>Il-Belġju</t>
  </si>
  <si>
    <t>بلژیک</t>
  </si>
  <si>
    <t>Bélgica</t>
  </si>
  <si>
    <t>Бельгия</t>
  </si>
  <si>
    <t>Белгија</t>
  </si>
  <si>
    <t>belgicko</t>
  </si>
  <si>
    <t>เบลเยี่ยม</t>
  </si>
  <si>
    <t>Bỉ</t>
  </si>
  <si>
    <t>Бельгія</t>
  </si>
  <si>
    <t>بیلجئیم</t>
  </si>
  <si>
    <t>Bregu i Fildishtë</t>
  </si>
  <si>
    <t>كوت ديفوار</t>
  </si>
  <si>
    <t>Côte d' Ivoire</t>
  </si>
  <si>
    <t>Кот д'Ивоар</t>
  </si>
  <si>
    <t>Ακτή του Ελεφαντοστού</t>
  </si>
  <si>
    <t>החוף השנהב</t>
  </si>
  <si>
    <t>Costa d' Avorio</t>
  </si>
  <si>
    <t>코트 디부 아르</t>
  </si>
  <si>
    <t>Брегот на Слоновата Коска</t>
  </si>
  <si>
    <t>Берег Слоновой Кости</t>
  </si>
  <si>
    <t>Обала Слоноваче</t>
  </si>
  <si>
    <t>โกต ดิวัวร์</t>
  </si>
  <si>
    <t>Берег Слонової Кістки</t>
  </si>
  <si>
    <t>آئیوری کوسٹ</t>
  </si>
  <si>
    <t>Portugali</t>
  </si>
  <si>
    <t>პორტუგალიის</t>
  </si>
  <si>
    <t>Portugall</t>
  </si>
  <si>
    <t>پرتغال</t>
  </si>
  <si>
    <t>Spanjë</t>
  </si>
  <si>
    <t>إسبانيا</t>
  </si>
  <si>
    <t>ესპანეთში</t>
  </si>
  <si>
    <t>spain</t>
  </si>
  <si>
    <t>کشور اسپانیا</t>
  </si>
  <si>
    <t>španielsko</t>
  </si>
  <si>
    <t>Tây ban nha</t>
  </si>
  <si>
    <t>سپین</t>
  </si>
  <si>
    <t>Zvicër</t>
  </si>
  <si>
    <t>Švajcarska</t>
  </si>
  <si>
    <t>שוויץ</t>
  </si>
  <si>
    <t>Isvizzera</t>
  </si>
  <si>
    <t>سویس</t>
  </si>
  <si>
    <t>Elveția</t>
  </si>
  <si>
    <t>Швајцарска</t>
  </si>
  <si>
    <t>švajčiarsko</t>
  </si>
  <si>
    <t>ประเทศสวิสเซอร์แลนด์</t>
  </si>
  <si>
    <t>Thụy Sĩ</t>
  </si>
  <si>
    <t>سوئٹزرلینڈ</t>
  </si>
  <si>
    <t>ჰონდურასის</t>
  </si>
  <si>
    <t>Hondūras</t>
  </si>
  <si>
    <t>Ħonduras</t>
  </si>
  <si>
    <t>honduras</t>
  </si>
  <si>
    <t>ہونڈوراس</t>
  </si>
  <si>
    <t>16강전</t>
  </si>
  <si>
    <t>8강전</t>
  </si>
  <si>
    <t>3,4위전</t>
  </si>
  <si>
    <t>1월</t>
  </si>
  <si>
    <t>2월</t>
  </si>
  <si>
    <t>3월</t>
  </si>
  <si>
    <t>4월</t>
  </si>
  <si>
    <t>5월</t>
  </si>
  <si>
    <t>6월</t>
  </si>
  <si>
    <t>7월</t>
  </si>
  <si>
    <t>8월</t>
  </si>
  <si>
    <t>9월</t>
  </si>
  <si>
    <t>10월</t>
  </si>
  <si>
    <t>11월</t>
  </si>
  <si>
    <t>12월</t>
  </si>
  <si>
    <t>A 그룹 1위</t>
  </si>
  <si>
    <t>A 그룹 2위</t>
  </si>
  <si>
    <t>B 그룹 1위</t>
  </si>
  <si>
    <t>B 그룹 2위</t>
  </si>
  <si>
    <t>C 그룹 1위</t>
  </si>
  <si>
    <t>C 그룹 2위</t>
  </si>
  <si>
    <t>D 그룹 1위</t>
  </si>
  <si>
    <t>D 그룹 2위</t>
  </si>
  <si>
    <t>E 그룹 1위</t>
  </si>
  <si>
    <t>E 그룹 2위</t>
  </si>
  <si>
    <t>F 그룹 1위</t>
  </si>
  <si>
    <t>F 그룹 2위</t>
  </si>
  <si>
    <t>G 그룹 1위</t>
  </si>
  <si>
    <t>G 그룹 2위</t>
  </si>
  <si>
    <t>H 그룹 1위</t>
  </si>
  <si>
    <t>H 그룹 2위</t>
  </si>
  <si>
    <t>16강전 경기1 승자</t>
  </si>
  <si>
    <t>16강전 경기2 승자</t>
  </si>
  <si>
    <t>16강전 경기3 승자</t>
  </si>
  <si>
    <t>16강전 경기4 승자</t>
  </si>
  <si>
    <t>16강전 경기5 승자</t>
  </si>
  <si>
    <t>16강전 경기6 승자</t>
  </si>
  <si>
    <t>16강전 경기7 승자</t>
  </si>
  <si>
    <t>16강전 경기8 승자</t>
  </si>
  <si>
    <t>8강전 경기1 승자</t>
  </si>
  <si>
    <t>8강전 경기2 승자</t>
  </si>
  <si>
    <t>8강전 경기3 승자</t>
  </si>
  <si>
    <t>8강전 경기4 승자</t>
  </si>
  <si>
    <t>준결승 경기2 승자</t>
  </si>
  <si>
    <t>준결승 경기1 패자</t>
  </si>
  <si>
    <t>준결승 경기2 패자</t>
  </si>
  <si>
    <t>Sao Paulo</t>
  </si>
  <si>
    <t>Natal</t>
  </si>
  <si>
    <t>Fortaleza</t>
  </si>
  <si>
    <t>Manaus</t>
  </si>
  <si>
    <t>Brasilia</t>
  </si>
  <si>
    <t>Recife</t>
  </si>
  <si>
    <t>Salvador</t>
  </si>
  <si>
    <t>Cuiaba</t>
  </si>
  <si>
    <t>Rio De Janeiro</t>
  </si>
  <si>
    <t>Porto Alegre</t>
  </si>
  <si>
    <t>Curitiba</t>
  </si>
  <si>
    <t>Belo Horizonte</t>
  </si>
  <si>
    <t>بيلو هوريزونتي</t>
  </si>
  <si>
    <t>Бело Оризонте</t>
  </si>
  <si>
    <t>贝洛奥里藏特</t>
  </si>
  <si>
    <t>貝洛奧里藏特</t>
  </si>
  <si>
    <t>belo Horizonte</t>
  </si>
  <si>
    <t>Μπέλο Οριζόντε</t>
  </si>
  <si>
    <t>בלו הוריזונטה</t>
  </si>
  <si>
    <t>벨루 오리 존치</t>
  </si>
  <si>
    <t>Belo Horizontė</t>
  </si>
  <si>
    <t>Бело Хоризонте</t>
  </si>
  <si>
    <t>بلو هوریزونته</t>
  </si>
  <si>
    <t>Белу-Оризонти</t>
  </si>
  <si>
    <t>Белу -Орізонті</t>
  </si>
  <si>
    <t>بیلو ہوریزونٹے</t>
  </si>
  <si>
    <t>Brazilias</t>
  </si>
  <si>
    <t>برازيليا</t>
  </si>
  <si>
    <t>Brasília</t>
  </si>
  <si>
    <t>巴西利亚</t>
  </si>
  <si>
    <t>巴西利亞</t>
  </si>
  <si>
    <t>Μπραζίλια</t>
  </si>
  <si>
    <t>ברזיליה</t>
  </si>
  <si>
    <t>브라질리아</t>
  </si>
  <si>
    <t>Бразилија</t>
  </si>
  <si>
    <t>برازیلیا</t>
  </si>
  <si>
    <t>Бразилиа</t>
  </si>
  <si>
    <t>บราซิเลีย</t>
  </si>
  <si>
    <t>Бразиліа</t>
  </si>
  <si>
    <t>براسیلیا</t>
  </si>
  <si>
    <t>كويابا</t>
  </si>
  <si>
    <t>库亚巴</t>
  </si>
  <si>
    <t>庫亞巴</t>
  </si>
  <si>
    <t>Cuiabá</t>
  </si>
  <si>
    <t>קויאבה</t>
  </si>
  <si>
    <t>쿠이 아바</t>
  </si>
  <si>
    <t>کویابا</t>
  </si>
  <si>
    <t>cuiaba</t>
  </si>
  <si>
    <t>Куяба</t>
  </si>
  <si>
    <t>Кујаба</t>
  </si>
  <si>
    <t>กูยาบา</t>
  </si>
  <si>
    <t>کیوبا</t>
  </si>
  <si>
    <t>كوريتيبا</t>
  </si>
  <si>
    <t>Куритиба</t>
  </si>
  <si>
    <t>库里提巴</t>
  </si>
  <si>
    <t>庫裡提巴</t>
  </si>
  <si>
    <t>קוריטיבה</t>
  </si>
  <si>
    <t>쿠리티바</t>
  </si>
  <si>
    <t>Kuritiba</t>
  </si>
  <si>
    <t>کوریتیبا</t>
  </si>
  <si>
    <t>curitiba</t>
  </si>
  <si>
    <t>กูรีตีบา</t>
  </si>
  <si>
    <t>Курітіба</t>
  </si>
  <si>
    <t>کوریٹیبا</t>
  </si>
  <si>
    <t>فورتاليزا</t>
  </si>
  <si>
    <t>Форталеза</t>
  </si>
  <si>
    <t>fortalesa</t>
  </si>
  <si>
    <t>福塔雷萨</t>
  </si>
  <si>
    <t>福塔雷薩</t>
  </si>
  <si>
    <t>פורטלזה</t>
  </si>
  <si>
    <t>포르 탈 레자</t>
  </si>
  <si>
    <t>فورتالزا</t>
  </si>
  <si>
    <t>fortaleza</t>
  </si>
  <si>
    <t>ฟอร์</t>
  </si>
  <si>
    <t>فورٹالیزا</t>
  </si>
  <si>
    <t>ماناوس</t>
  </si>
  <si>
    <t>马瑙斯</t>
  </si>
  <si>
    <t>馬瑙斯</t>
  </si>
  <si>
    <t>מנאוס</t>
  </si>
  <si>
    <t>마나우스</t>
  </si>
  <si>
    <t>Manausas</t>
  </si>
  <si>
    <t>Манаус</t>
  </si>
  <si>
    <t>مانائوس</t>
  </si>
  <si>
    <t>มาเนาส์</t>
  </si>
  <si>
    <t>میناس</t>
  </si>
  <si>
    <t>i lindjes</t>
  </si>
  <si>
    <t>الولادة</t>
  </si>
  <si>
    <t>ծննդյան</t>
  </si>
  <si>
    <t>роден</t>
  </si>
  <si>
    <t>natal</t>
  </si>
  <si>
    <t>纳塔尔</t>
  </si>
  <si>
    <t>納塔爾</t>
  </si>
  <si>
    <t>natalni</t>
  </si>
  <si>
    <t>rodný</t>
  </si>
  <si>
    <t>Geburts-</t>
  </si>
  <si>
    <t>γενέθλιος</t>
  </si>
  <si>
    <t>נטאל</t>
  </si>
  <si>
    <t>születési</t>
  </si>
  <si>
    <t>natale</t>
  </si>
  <si>
    <t>출생의</t>
  </si>
  <si>
    <t>Natalis</t>
  </si>
  <si>
    <t>натална</t>
  </si>
  <si>
    <t>مولودی</t>
  </si>
  <si>
    <t>rodzinny</t>
  </si>
  <si>
    <t>натальный</t>
  </si>
  <si>
    <t>натални</t>
  </si>
  <si>
    <t>เกี่ยวกับการเกิด</t>
  </si>
  <si>
    <t>doğum</t>
  </si>
  <si>
    <t>nơi sanh đẻ</t>
  </si>
  <si>
    <t>Натільний</t>
  </si>
  <si>
    <t>نےٹال</t>
  </si>
  <si>
    <t>بورتو أليغري</t>
  </si>
  <si>
    <t>阿雷格里港</t>
  </si>
  <si>
    <t>Πόρτο Αλέγκρε</t>
  </si>
  <si>
    <t>פורטו אלגרה</t>
  </si>
  <si>
    <t>포르투 알레그레</t>
  </si>
  <si>
    <t>Porto Alegrė</t>
  </si>
  <si>
    <t>Порто Алегре</t>
  </si>
  <si>
    <t>پورتو آلگره</t>
  </si>
  <si>
    <t>Порту-Алегри</t>
  </si>
  <si>
    <t>ปอร์โต อเลเกร</t>
  </si>
  <si>
    <t>порту -Алегрі</t>
  </si>
  <si>
    <t>پورٹو Alegre</t>
  </si>
  <si>
    <t>ريسيفي</t>
  </si>
  <si>
    <t>Ресифе</t>
  </si>
  <si>
    <t>累西腓</t>
  </si>
  <si>
    <t>Ρεσίφε</t>
  </si>
  <si>
    <t>רסיפה</t>
  </si>
  <si>
    <t>레시 페</t>
  </si>
  <si>
    <t>Resifė</t>
  </si>
  <si>
    <t>رسیف</t>
  </si>
  <si>
    <t>Ресифи</t>
  </si>
  <si>
    <t>เรซิเฟ่</t>
  </si>
  <si>
    <t>Ресіфі</t>
  </si>
  <si>
    <t>ریسیف</t>
  </si>
  <si>
    <t>ريو دي جانيرو</t>
  </si>
  <si>
    <t>里约热内卢</t>
  </si>
  <si>
    <t>里約熱內盧</t>
  </si>
  <si>
    <t>Ρίο Ιανέιρο</t>
  </si>
  <si>
    <t>ריו דה ז'נרו</t>
  </si>
  <si>
    <t>리오 데 자네이로</t>
  </si>
  <si>
    <t>Rio de Žaneiras</t>
  </si>
  <si>
    <t>Рио де Жанеиро</t>
  </si>
  <si>
    <t>ریو دو ژانیرو</t>
  </si>
  <si>
    <t>Rio de Janeiro</t>
  </si>
  <si>
    <t>Рио -де-Жанейро</t>
  </si>
  <si>
    <t>ริโอ เดจาเนโร</t>
  </si>
  <si>
    <t>Ріо- де- Жанейро</t>
  </si>
  <si>
    <t>ریو ڈی جنیرو</t>
  </si>
  <si>
    <t>سلفادور</t>
  </si>
  <si>
    <t>萨尔瓦多</t>
  </si>
  <si>
    <t>薩爾瓦多</t>
  </si>
  <si>
    <t>Σαλβαντόρ</t>
  </si>
  <si>
    <t>סלבדור</t>
  </si>
  <si>
    <t>살바도르</t>
  </si>
  <si>
    <t>Salvadoras</t>
  </si>
  <si>
    <t>Салвадор</t>
  </si>
  <si>
    <t>سالوادور</t>
  </si>
  <si>
    <t>Сальвадор</t>
  </si>
  <si>
    <t>salvador</t>
  </si>
  <si>
    <t>ซัลวาดอ</t>
  </si>
  <si>
    <t>سلواڈور</t>
  </si>
  <si>
    <t>ساو باولو</t>
  </si>
  <si>
    <t>圣保罗</t>
  </si>
  <si>
    <t>聖保羅</t>
  </si>
  <si>
    <t>Σάο Πάολο</t>
  </si>
  <si>
    <t>סאו פאולו</t>
  </si>
  <si>
    <t>상파울루</t>
  </si>
  <si>
    <t>San Paulas</t>
  </si>
  <si>
    <t>Сао Паоло</t>
  </si>
  <si>
    <t>سائو پائولو</t>
  </si>
  <si>
    <t>São Paulo</t>
  </si>
  <si>
    <t>Сан-Паулу</t>
  </si>
  <si>
    <t>sao Paulo</t>
  </si>
  <si>
    <t>เซา เปาโล</t>
  </si>
  <si>
    <t>Сан -Паулу</t>
  </si>
  <si>
    <t>ساؤ پالو</t>
  </si>
  <si>
    <t>Календар Чемпіонату Світу 2014</t>
  </si>
  <si>
    <t>Copa Mundial de Fútbol - Brasil 2014</t>
  </si>
  <si>
    <t>Гуруҳ босқичи</t>
  </si>
  <si>
    <t>Нимчорак финал</t>
  </si>
  <si>
    <t>Чорак финал</t>
  </si>
  <si>
    <t>Ярим финал</t>
  </si>
  <si>
    <t>Гуруҳ</t>
  </si>
  <si>
    <t>Ў</t>
  </si>
  <si>
    <t>Ю</t>
  </si>
  <si>
    <t>Д</t>
  </si>
  <si>
    <t>Очколар</t>
  </si>
  <si>
    <t>Якш</t>
  </si>
  <si>
    <t>Душ</t>
  </si>
  <si>
    <t>Сеш</t>
  </si>
  <si>
    <t>Чор</t>
  </si>
  <si>
    <t>Пай</t>
  </si>
  <si>
    <t>Жума</t>
  </si>
  <si>
    <t>Шанба</t>
  </si>
  <si>
    <t>Жамоа</t>
  </si>
  <si>
    <t>Жанубий Корея</t>
  </si>
  <si>
    <t>АҚШ</t>
  </si>
  <si>
    <t>Жазоир</t>
  </si>
  <si>
    <t>Голландия</t>
  </si>
  <si>
    <t>Эрон</t>
  </si>
  <si>
    <t>Белу Оризонти</t>
  </si>
  <si>
    <t>Натал</t>
  </si>
  <si>
    <t>Порту Алегри</t>
  </si>
  <si>
    <t>Рио де Жанейро</t>
  </si>
  <si>
    <t>Uzbek</t>
  </si>
  <si>
    <t>巴西2014年世界杯</t>
  </si>
  <si>
    <t>No</t>
  </si>
  <si>
    <t>Июнь</t>
  </si>
  <si>
    <t>Июль</t>
  </si>
  <si>
    <t>Босния ва Герцеговина</t>
  </si>
  <si>
    <t>Кот-д’Ивуар</t>
  </si>
  <si>
    <t>2014 йилги Жаҳон Чемпиони</t>
  </si>
  <si>
    <t>Тўплар нисбати</t>
  </si>
  <si>
    <t>Тил</t>
  </si>
  <si>
    <t>Ёзги вақт</t>
  </si>
  <si>
    <t>GTM-Вақти</t>
  </si>
  <si>
    <t>Минутлардаги фарқ</t>
  </si>
  <si>
    <t>Урилган голлар сони</t>
  </si>
  <si>
    <t>Ўзаро ўйинлар (Pnt, GF-GA, GF)</t>
  </si>
  <si>
    <t>FIFA рейтингидаги ўрни</t>
  </si>
  <si>
    <t>Созламалар</t>
  </si>
  <si>
    <t>#1 қоида</t>
  </si>
  <si>
    <t>#2 қоида</t>
  </si>
  <si>
    <t>#3 қоида</t>
  </si>
  <si>
    <t>#4 қоида</t>
  </si>
  <si>
    <t>#5 қоида</t>
  </si>
  <si>
    <t>FIFA Рейтинги</t>
  </si>
  <si>
    <t>Асосий вақт</t>
  </si>
  <si>
    <t>Қўш. вақт</t>
  </si>
  <si>
    <t>Тўп. нисб.</t>
  </si>
  <si>
    <t>Гуруҳ босқичи қоидаси</t>
  </si>
  <si>
    <t>3-ўрин учун баҳс</t>
  </si>
  <si>
    <t>Футбол бўйича 2014 йилги Жаҳон чемпионати финал босқичи ўйинлари жадвали</t>
  </si>
  <si>
    <t>РЕКЛАМА УЧУН ЖОЙ</t>
  </si>
  <si>
    <t>Қўшимча саволлар:</t>
  </si>
  <si>
    <t>Ким тўпурар бўлади?</t>
  </si>
  <si>
    <t>Нечта тўп билан?</t>
  </si>
  <si>
    <t>Тўпурар жамоа?</t>
  </si>
  <si>
    <t>Сиз олган очко</t>
  </si>
  <si>
    <t>Очколарни ҳисоблаш</t>
  </si>
  <si>
    <t>Топилган дуранглар сони</t>
  </si>
  <si>
    <t>Топган аниқ ҳисобларингиз сони</t>
  </si>
  <si>
    <t>Топилган тўплар нисбати</t>
  </si>
  <si>
    <t>ЖАМИ ОЧКО</t>
  </si>
  <si>
    <t>ҚАНДАЙ ҲИСОБЛАНАДИ?</t>
  </si>
  <si>
    <t>Ғолиб жамоа</t>
  </si>
  <si>
    <t>Ғолиб жамоа+тўплар нисбати</t>
  </si>
  <si>
    <t>Аниқ ҳисобли бўлмаган дуранг</t>
  </si>
  <si>
    <t>Аниқ ҳисоб</t>
  </si>
  <si>
    <t>1/4 финал жуфтлик ғолиби (ноаниқ жуфтлик)</t>
  </si>
  <si>
    <t>1/4 финал жуфтлик ғолиби (аниқ жуфтлик)</t>
  </si>
  <si>
    <t>1/4 финал аниқ ҳисоби</t>
  </si>
  <si>
    <t>1/2 финал жуфтлик ғолиби (ноаниқ жуфтлик)</t>
  </si>
  <si>
    <t>1/2 финал жуфтлик ғолиби (аниқ жуфтлик)</t>
  </si>
  <si>
    <t>1/2 финал аниқ ҳисоби</t>
  </si>
  <si>
    <t>Чемпион жамоа (ноаниқ жуфтлик)</t>
  </si>
  <si>
    <t>Чемпион жамоа (аниқ жуфтлик)</t>
  </si>
  <si>
    <t>Финалда аниқ топилган ҳисоб</t>
  </si>
  <si>
    <t>1 очко</t>
  </si>
  <si>
    <t>2 очко</t>
  </si>
  <si>
    <t>3 очко</t>
  </si>
  <si>
    <t>6 очко</t>
  </si>
  <si>
    <t>4 очко</t>
  </si>
  <si>
    <t>7 очко</t>
  </si>
  <si>
    <t>5 очко</t>
  </si>
  <si>
    <t>8 очко</t>
  </si>
  <si>
    <t>15 очко</t>
  </si>
  <si>
    <t>Тўпурар футболчи (голлар сони нотўғри)</t>
  </si>
  <si>
    <t>Тўпурар футболчи (голлар сони тўғри)</t>
  </si>
  <si>
    <t>Тўпурар жамоа (голлар сони нотўғри)</t>
  </si>
  <si>
    <t>Тўпурар жамоа (голлар сони тўғри)</t>
  </si>
  <si>
    <t>10 очко</t>
  </si>
  <si>
    <t>Телефон рақам:</t>
  </si>
  <si>
    <t>Очколар ҳақида маълумот</t>
  </si>
  <si>
    <t>Очколар ҳақида маълумот:</t>
  </si>
  <si>
    <r>
      <t>1/8 финал жуфтлик ғолиби (ноаниқ жуфтлик)</t>
    </r>
    <r>
      <rPr>
        <sz val="10"/>
        <color rgb="FFFF0000"/>
        <rFont val="Calibri"/>
        <family val="2"/>
        <charset val="204"/>
        <scheme val="minor"/>
      </rPr>
      <t>*</t>
    </r>
  </si>
  <si>
    <r>
      <t>1/8 финал жуфтлик ғолиби (аниқ жуфтлик)</t>
    </r>
    <r>
      <rPr>
        <sz val="10"/>
        <color rgb="FFFF0000"/>
        <rFont val="Calibri"/>
        <family val="2"/>
        <charset val="204"/>
        <scheme val="minor"/>
      </rPr>
      <t>**</t>
    </r>
  </si>
  <si>
    <r>
      <t>Финалда аниқ топилган жуфтлик</t>
    </r>
    <r>
      <rPr>
        <sz val="10"/>
        <color rgb="FFFF0000"/>
        <rFont val="Calibri"/>
        <family val="2"/>
        <charset val="204"/>
        <scheme val="minor"/>
      </rPr>
      <t>****</t>
    </r>
  </si>
  <si>
    <r>
      <rPr>
        <b/>
        <sz val="13"/>
        <color rgb="FFFF0000"/>
        <rFont val="Calibri"/>
        <family val="2"/>
        <charset val="204"/>
      </rPr>
      <t>*</t>
    </r>
    <r>
      <rPr>
        <b/>
        <sz val="13"/>
        <rFont val="Calibri"/>
        <family val="2"/>
        <charset val="204"/>
      </rPr>
      <t>Ф.И.Ш.:</t>
    </r>
  </si>
  <si>
    <r>
      <rPr>
        <b/>
        <sz val="13"/>
        <color rgb="FFFF0000"/>
        <rFont val="Calibri"/>
        <family val="2"/>
        <charset val="204"/>
      </rPr>
      <t>*</t>
    </r>
    <r>
      <rPr>
        <b/>
        <sz val="13"/>
        <rFont val="Calibri"/>
        <family val="2"/>
        <charset val="204"/>
      </rPr>
      <t>Stadion.uz`даги ник:</t>
    </r>
  </si>
  <si>
    <r>
      <rPr>
        <b/>
        <sz val="13"/>
        <color rgb="FFFF0000"/>
        <rFont val="Calibri"/>
        <family val="2"/>
        <charset val="204"/>
      </rPr>
      <t>*</t>
    </r>
    <r>
      <rPr>
        <b/>
        <sz val="13"/>
        <rFont val="Calibri"/>
        <family val="2"/>
        <charset val="204"/>
      </rPr>
      <t>E-mail:</t>
    </r>
  </si>
  <si>
    <t>Жадвал www.excely.com сайтида тайёрланди</t>
  </si>
  <si>
    <r>
      <rPr>
        <sz val="10"/>
        <color rgb="FFFF0000"/>
        <rFont val="Calibri"/>
        <family val="2"/>
        <charset val="204"/>
      </rPr>
      <t xml:space="preserve">* </t>
    </r>
    <r>
      <rPr>
        <sz val="10"/>
        <rFont val="Calibri"/>
        <family val="2"/>
        <charset val="204"/>
      </rPr>
      <t>Тўлдирилиши шарт бўлган саволлар. Илтимос, маълумотларни тўлиқроқ ёзинг, Сиз билан боғланиш имкониятимизни ҳисобга олинг.</t>
    </r>
  </si>
  <si>
    <t>Тўғри топган ютуқларингиз сони</t>
  </si>
  <si>
    <t>Сиз тўплаган очко</t>
  </si>
  <si>
    <t>1-жамоа</t>
  </si>
  <si>
    <t>2-жамоа</t>
  </si>
  <si>
    <t>Ҳисоб учун</t>
  </si>
  <si>
    <t>Жуфтлик ғолиби</t>
  </si>
  <si>
    <t>Аниқ очко</t>
  </si>
  <si>
    <r>
      <t>1/8 финал аниқ ҳисоби</t>
    </r>
    <r>
      <rPr>
        <sz val="10"/>
        <color rgb="FFFF0000"/>
        <rFont val="Calibri"/>
        <family val="2"/>
        <charset val="204"/>
        <scheme val="minor"/>
      </rPr>
      <t>***</t>
    </r>
  </si>
  <si>
    <t>3-ўрин учун баҳсда аниқ топилган жуфтлик</t>
  </si>
  <si>
    <t>3-ўрин учун баҳсда аниқ топилган ҳисоб</t>
  </si>
  <si>
    <t>3-ўрин соҳиби (ноаниқ жуфтлик)</t>
  </si>
  <si>
    <t>3-ўрин соҳиби (аниқ жуфтлик)</t>
  </si>
  <si>
    <t>12 очко</t>
  </si>
  <si>
    <r>
      <rPr>
        <b/>
        <sz val="9"/>
        <color rgb="FFFF0000"/>
        <rFont val="Calibri"/>
        <family val="2"/>
        <charset val="204"/>
      </rPr>
      <t xml:space="preserve">                                                       ЭСЛАТМА:
</t>
    </r>
    <r>
      <rPr>
        <sz val="9"/>
        <color rgb="FFFF0000"/>
        <rFont val="Calibri"/>
        <family val="2"/>
        <charset val="204"/>
      </rPr>
      <t>Фақат 90 дақиқа натижалари ҳисобланади, қўшимча дақиқа ва пенальтилар ҳисобга олинмайди. Плей-оффнинг асосий вақтида дуранг бўлади деб ўйлаган вақтингизда кейинги босқичга қайси жамоа чиқишини белгилаш учун қўшимча вақт катакчасидан фойдаланинг.</t>
    </r>
    <r>
      <rPr>
        <sz val="9"/>
        <rFont val="Calibri"/>
        <family val="2"/>
        <charset val="204"/>
      </rPr>
      <t xml:space="preserve">
                                                           </t>
    </r>
    <r>
      <rPr>
        <b/>
        <sz val="9"/>
        <rFont val="Calibri"/>
        <family val="2"/>
        <charset val="204"/>
      </rPr>
      <t>Изоҳ:</t>
    </r>
    <r>
      <rPr>
        <sz val="9"/>
        <rFont val="Calibri"/>
        <family val="2"/>
        <charset val="204"/>
      </rPr>
      <t xml:space="preserve">
</t>
    </r>
    <r>
      <rPr>
        <sz val="9"/>
        <color rgb="FFFF0000"/>
        <rFont val="Calibri"/>
        <family val="2"/>
        <charset val="204"/>
      </rPr>
      <t>*</t>
    </r>
    <r>
      <rPr>
        <sz val="9"/>
        <rFont val="Calibri"/>
        <family val="2"/>
        <charset val="204"/>
      </rPr>
      <t xml:space="preserve"> ноаниқ жуфтлик — ғолиб жамоа топилган, лекин унинг 2-шериги ноаниқ бўлган ҳолат;
</t>
    </r>
    <r>
      <rPr>
        <sz val="9"/>
        <color rgb="FFFF0000"/>
        <rFont val="Calibri"/>
        <family val="2"/>
        <charset val="204"/>
      </rPr>
      <t>**</t>
    </r>
    <r>
      <rPr>
        <sz val="9"/>
        <rFont val="Calibri"/>
        <family val="2"/>
        <charset val="204"/>
      </rPr>
      <t xml:space="preserve"> аниқ жуфтлик — ғолиб жамоа ҳам, унинг 2-шериги аниқ бўлган ҳолат;
</t>
    </r>
    <r>
      <rPr>
        <sz val="9"/>
        <color rgb="FFFF0000"/>
        <rFont val="Calibri"/>
        <family val="2"/>
        <charset val="204"/>
      </rPr>
      <t>***</t>
    </r>
    <r>
      <rPr>
        <sz val="9"/>
        <rFont val="Calibri"/>
        <family val="2"/>
        <charset val="204"/>
      </rPr>
      <t xml:space="preserve"> аниқ ҳисоб — ушбу банд фақат ўйинда иштирок этган иккала жамоа ҳам тўғри топилган вақтда (аниқ жуфтлик) амал қилади;
</t>
    </r>
    <r>
      <rPr>
        <sz val="9"/>
        <color rgb="FFFF0000"/>
        <rFont val="Calibri"/>
        <family val="2"/>
        <charset val="204"/>
      </rPr>
      <t>****</t>
    </r>
    <r>
      <rPr>
        <sz val="9"/>
        <rFont val="Calibri"/>
        <family val="2"/>
        <charset val="204"/>
      </rPr>
      <t xml:space="preserve"> Финалда аниқ топилган жуфтлик — Бунда финалнинг ҳар иккала жамоаси ҳам тўғри топилган ҳолатда очко берилади (ўйин натижасидан қатъий назар).
                                                       </t>
    </r>
    <r>
      <rPr>
        <b/>
        <sz val="9"/>
        <color rgb="FFFF0000"/>
        <rFont val="Calibri"/>
        <family val="2"/>
        <charset val="204"/>
      </rPr>
      <t xml:space="preserve">Эслатма:
</t>
    </r>
    <r>
      <rPr>
        <sz val="9"/>
        <rFont val="Calibri"/>
        <family val="2"/>
        <charset val="204"/>
      </rPr>
      <t>Агар якунда ҳам бир нечта иштирокчилар бир хил очко тўплаган бўлса, ғолиб қуйидагича аниқланади:
1. Ким кўпроқ аниқ ҳисобларни топган бўлса, ўша ғолиб бўлади.
2. Ким чемпион номини топган бўлса, ўша ғолиб бўлади.
3. Кимда умуман очко ололмаган ўйинлари кам бўлса, ўша ғолиб бўлади.
4. Ким финал жуфтлигини тўғри топган бўлса, ўша ғолиб бўлади.
5. Қуръа ташланади.</t>
    </r>
  </si>
  <si>
    <t>Аслида ким тўпурар бўлганини ёзинг (имлога эътибор беринг)</t>
  </si>
  <si>
    <t>Очколарни ўзингиз ҳисобланг</t>
  </si>
  <si>
    <r>
      <t xml:space="preserve">1. "Anketa-2014" саҳифаси (лист)да Сиз таҳмин қилган ҳисоблар бўлиши шарт.
2. Ушбу саҳифага эса ўйинлардан кейин ҳақиқий ҳисобларни киритиб боринг.
3. Очколар ўзи автоматик ҳисобланади.
</t>
    </r>
    <r>
      <rPr>
        <b/>
        <sz val="10"/>
        <color rgb="FFFF0000"/>
        <rFont val="Calibri"/>
        <family val="2"/>
        <charset val="204"/>
      </rPr>
      <t>ЭСЛАТМА: Ҳали ўтказилмаган ўйинлар автоматик 0:0 деб ҳисобланади, шу сабабли ўтказилмаган ўйинларда дуранг учун очко берилади.</t>
    </r>
  </si>
  <si>
    <r>
      <t xml:space="preserve">Якуний статистикангиз:
</t>
    </r>
    <r>
      <rPr>
        <b/>
        <sz val="10"/>
        <color rgb="FFFF0000"/>
        <rFont val="Calibri"/>
        <family val="2"/>
        <charset val="204"/>
      </rPr>
      <t>ЭСЛАТМА: Барча ўйинлар якунлангач ҳақиқий натижани кўришингиз мумкин. Унгача хатоликлар бўлади.</t>
    </r>
  </si>
  <si>
    <t>Очколарингизни ўзингиз ҳисобланг!!!</t>
  </si>
  <si>
    <t>Жадвал муаллифи: Хушнуд Худайбердиев</t>
  </si>
  <si>
    <t>ВИКТОРИНА ТАШКИЛОТЧИЛАРИ</t>
  </si>
  <si>
    <t xml:space="preserve">      XUSHNUDBEK.UZ</t>
  </si>
  <si>
    <t xml:space="preserve">      STADION.UZ</t>
  </si>
  <si>
    <t>Xushnudbek.uz</t>
  </si>
  <si>
    <t xml:space="preserve">        Stadion.uz</t>
  </si>
  <si>
    <r>
      <t xml:space="preserve">Очколар ҳисоблашда хатоликлар мавжуд бўлса, бу ҳақида </t>
    </r>
    <r>
      <rPr>
        <b/>
        <sz val="11"/>
        <color rgb="FF0118BF"/>
        <rFont val="Calibri"/>
        <family val="2"/>
        <charset val="204"/>
      </rPr>
      <t>wcviktorina@gmail.com</t>
    </r>
    <r>
      <rPr>
        <sz val="11"/>
        <rFont val="Calibri"/>
        <family val="2"/>
        <charset val="204"/>
      </rPr>
      <t xml:space="preserve"> электрон манзилига хабар қилишингизни сўраймиз.</t>
    </r>
  </si>
  <si>
    <t>ЖАҲОН ЧЕМПИОНАТИ-2014 ВИКТОРИНАСИ УЧУН АНКЕТА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</si>
</sst>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
  </numFmts>
  <fonts count="45" x14ac:knownFonts="1">
    <font>
      <sz val="10"/>
      <name val="Calibri"/>
      <charset val="204"/>
    </font>
    <font>
      <sz val="10"/>
      <name val="Calibri"/>
      <family val="2"/>
      <charset val="204"/>
    </font>
    <font>
      <sz val="8"/>
      <name val="Calibri"/>
      <family val="2"/>
      <charset val="204"/>
    </font>
    <font>
      <b/>
      <sz val="16"/>
      <name val="Calibri"/>
      <family val="2"/>
      <charset val="204"/>
    </font>
    <font>
      <sz val="10"/>
      <color indexed="12"/>
      <name val="Calibri"/>
      <family val="2"/>
      <charset val="204"/>
    </font>
    <font>
      <sz val="10"/>
      <name val="Calibri"/>
      <family val="2"/>
      <charset val="204"/>
    </font>
    <font>
      <sz val="8"/>
      <name val="Calibri"/>
      <family val="2"/>
      <charset val="204"/>
    </font>
    <font>
      <b/>
      <sz val="12"/>
      <name val="Calibri"/>
      <family val="2"/>
      <charset val="204"/>
    </font>
    <font>
      <sz val="36"/>
      <name val="Calibri"/>
      <family val="2"/>
      <charset val="204"/>
    </font>
    <font>
      <u/>
      <sz val="10"/>
      <color indexed="12"/>
      <name val="Calibri"/>
      <family val="2"/>
      <charset val="204"/>
    </font>
    <font>
      <b/>
      <sz val="16"/>
      <color indexed="12"/>
      <name val="Calibri"/>
      <family val="2"/>
      <charset val="204"/>
    </font>
    <font>
      <b/>
      <sz val="10"/>
      <name val="Calibri"/>
      <family val="2"/>
      <charset val="204"/>
    </font>
    <font>
      <sz val="16"/>
      <name val="Calibri"/>
      <family val="2"/>
      <charset val="204"/>
      <scheme val="minor"/>
    </font>
    <font>
      <sz val="14"/>
      <name val="Calibri"/>
      <family val="2"/>
      <charset val="204"/>
      <scheme val="minor"/>
    </font>
    <font>
      <sz val="18"/>
      <name val="Bookman Old Style"/>
      <family val="1"/>
      <charset val="204"/>
    </font>
    <font>
      <sz val="28"/>
      <name val="Calibri"/>
      <family val="2"/>
      <charset val="204"/>
    </font>
    <font>
      <sz val="24"/>
      <name val="Calibri"/>
      <family val="2"/>
      <charset val="204"/>
    </font>
    <font>
      <sz val="11"/>
      <name val="Calibri"/>
      <family val="2"/>
      <charset val="204"/>
    </font>
    <font>
      <sz val="12"/>
      <name val="Calibri"/>
      <family val="2"/>
      <charset val="204"/>
    </font>
    <font>
      <b/>
      <sz val="14"/>
      <name val="Calibri"/>
      <family val="2"/>
      <charset val="204"/>
    </font>
    <font>
      <sz val="10"/>
      <name val="Calibri"/>
      <family val="2"/>
      <charset val="204"/>
      <scheme val="minor"/>
    </font>
    <font>
      <sz val="9"/>
      <name val="Calibri"/>
      <family val="2"/>
      <charset val="204"/>
      <scheme val="minor"/>
    </font>
    <font>
      <sz val="10"/>
      <color theme="1"/>
      <name val="Times New Roman"/>
      <family val="1"/>
      <charset val="204"/>
    </font>
    <font>
      <b/>
      <sz val="10"/>
      <name val="Calibri"/>
      <family val="2"/>
      <charset val="204"/>
      <scheme val="minor"/>
    </font>
    <font>
      <sz val="11"/>
      <color theme="1"/>
      <name val="Times New Roman"/>
      <family val="1"/>
      <charset val="204"/>
    </font>
    <font>
      <b/>
      <sz val="14"/>
      <name val="Footlight MT Light"/>
      <family val="1"/>
    </font>
    <font>
      <b/>
      <sz val="10"/>
      <color rgb="FFFF0000"/>
      <name val="Calibri"/>
      <family val="2"/>
      <charset val="204"/>
    </font>
    <font>
      <b/>
      <sz val="11"/>
      <color rgb="FFFF0000"/>
      <name val="Calibri"/>
      <family val="2"/>
      <charset val="204"/>
    </font>
    <font>
      <sz val="9"/>
      <name val="Calibri"/>
      <family val="2"/>
      <charset val="204"/>
    </font>
    <font>
      <b/>
      <sz val="9"/>
      <name val="Calibri"/>
      <family val="2"/>
      <charset val="204"/>
    </font>
    <font>
      <sz val="22"/>
      <name val="Calibri"/>
      <family val="2"/>
      <charset val="204"/>
    </font>
    <font>
      <sz val="14"/>
      <name val="Calibri"/>
      <family val="2"/>
      <charset val="204"/>
    </font>
    <font>
      <b/>
      <sz val="13"/>
      <name val="Calibri"/>
      <family val="2"/>
      <charset val="204"/>
    </font>
    <font>
      <sz val="10"/>
      <color rgb="FFFF0000"/>
      <name val="Calibri"/>
      <family val="2"/>
      <charset val="204"/>
      <scheme val="minor"/>
    </font>
    <font>
      <sz val="9"/>
      <color rgb="FFFF0000"/>
      <name val="Calibri"/>
      <family val="2"/>
      <charset val="204"/>
    </font>
    <font>
      <b/>
      <sz val="13"/>
      <color rgb="FFFF0000"/>
      <name val="Calibri"/>
      <family val="2"/>
      <charset val="204"/>
    </font>
    <font>
      <b/>
      <sz val="9"/>
      <color rgb="FFFF0000"/>
      <name val="Calibri"/>
      <family val="2"/>
      <charset val="204"/>
    </font>
    <font>
      <sz val="12"/>
      <name val="Calibri"/>
      <family val="2"/>
      <charset val="204"/>
      <scheme val="minor"/>
    </font>
    <font>
      <sz val="10"/>
      <color rgb="FFFF0000"/>
      <name val="Calibri"/>
      <family val="2"/>
      <charset val="204"/>
    </font>
    <font>
      <b/>
      <sz val="11"/>
      <name val="Calibri"/>
      <family val="2"/>
      <charset val="204"/>
    </font>
    <font>
      <sz val="10"/>
      <name val="Bookman Old Style"/>
      <family val="1"/>
      <charset val="204"/>
    </font>
    <font>
      <sz val="12"/>
      <name val="Bookman Old Style"/>
      <family val="1"/>
      <charset val="204"/>
    </font>
    <font>
      <sz val="16"/>
      <name val="Calibri"/>
      <family val="2"/>
      <charset val="204"/>
    </font>
    <font>
      <sz val="14"/>
      <name val="Bookman Old Style"/>
      <family val="1"/>
      <charset val="204"/>
    </font>
    <font>
      <b/>
      <sz val="11"/>
      <color rgb="FF0118BF"/>
      <name val="Calibri"/>
      <family val="2"/>
      <charset val="204"/>
    </font>
  </fonts>
  <fills count="10">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s>
  <borders count="160">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style="thin">
        <color indexed="12"/>
      </left>
      <right style="hair">
        <color indexed="12"/>
      </right>
      <top style="thin">
        <color indexed="12"/>
      </top>
      <bottom style="hair">
        <color indexed="12"/>
      </bottom>
      <diagonal/>
    </border>
    <border>
      <left style="thin">
        <color indexed="12"/>
      </left>
      <right style="hair">
        <color indexed="12"/>
      </right>
      <top style="hair">
        <color indexed="12"/>
      </top>
      <bottom style="hair">
        <color indexed="12"/>
      </bottom>
      <diagonal/>
    </border>
    <border>
      <left style="thin">
        <color indexed="12"/>
      </left>
      <right style="hair">
        <color indexed="12"/>
      </right>
      <top style="hair">
        <color indexed="12"/>
      </top>
      <bottom style="thin">
        <color indexed="12"/>
      </bottom>
      <diagonal/>
    </border>
    <border>
      <left style="hair">
        <color indexed="12"/>
      </left>
      <right style="hair">
        <color indexed="12"/>
      </right>
      <top style="thin">
        <color indexed="12"/>
      </top>
      <bottom style="hair">
        <color indexed="12"/>
      </bottom>
      <diagonal/>
    </border>
    <border>
      <left style="hair">
        <color indexed="12"/>
      </left>
      <right style="thin">
        <color indexed="12"/>
      </right>
      <top style="thin">
        <color indexed="12"/>
      </top>
      <bottom style="hair">
        <color indexed="12"/>
      </bottom>
      <diagonal/>
    </border>
    <border>
      <left style="hair">
        <color indexed="12"/>
      </left>
      <right style="hair">
        <color indexed="12"/>
      </right>
      <top style="hair">
        <color indexed="12"/>
      </top>
      <bottom style="hair">
        <color indexed="12"/>
      </bottom>
      <diagonal/>
    </border>
    <border>
      <left style="hair">
        <color indexed="12"/>
      </left>
      <right style="thin">
        <color indexed="12"/>
      </right>
      <top style="hair">
        <color indexed="12"/>
      </top>
      <bottom style="hair">
        <color indexed="12"/>
      </bottom>
      <diagonal/>
    </border>
    <border>
      <left style="hair">
        <color indexed="12"/>
      </left>
      <right style="hair">
        <color indexed="12"/>
      </right>
      <top style="hair">
        <color indexed="12"/>
      </top>
      <bottom style="thin">
        <color indexed="12"/>
      </bottom>
      <diagonal/>
    </border>
    <border>
      <left style="hair">
        <color indexed="12"/>
      </left>
      <right style="thin">
        <color indexed="12"/>
      </right>
      <top style="hair">
        <color indexed="12"/>
      </top>
      <bottom style="thin">
        <color indexed="1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48"/>
      </left>
      <right/>
      <top style="thin">
        <color indexed="48"/>
      </top>
      <bottom style="hair">
        <color indexed="48"/>
      </bottom>
      <diagonal/>
    </border>
    <border>
      <left/>
      <right/>
      <top style="thin">
        <color indexed="48"/>
      </top>
      <bottom style="hair">
        <color indexed="48"/>
      </bottom>
      <diagonal/>
    </border>
    <border>
      <left/>
      <right style="hair">
        <color indexed="48"/>
      </right>
      <top style="thin">
        <color indexed="48"/>
      </top>
      <bottom style="hair">
        <color indexed="48"/>
      </bottom>
      <diagonal/>
    </border>
    <border>
      <left style="hair">
        <color indexed="48"/>
      </left>
      <right/>
      <top style="thin">
        <color indexed="48"/>
      </top>
      <bottom style="hair">
        <color indexed="48"/>
      </bottom>
      <diagonal/>
    </border>
    <border>
      <left style="thin">
        <color indexed="48"/>
      </left>
      <right/>
      <top style="hair">
        <color indexed="48"/>
      </top>
      <bottom style="hair">
        <color indexed="48"/>
      </bottom>
      <diagonal/>
    </border>
    <border>
      <left/>
      <right/>
      <top style="hair">
        <color indexed="48"/>
      </top>
      <bottom style="hair">
        <color indexed="48"/>
      </bottom>
      <diagonal/>
    </border>
    <border>
      <left/>
      <right style="hair">
        <color indexed="48"/>
      </right>
      <top style="hair">
        <color indexed="48"/>
      </top>
      <bottom style="hair">
        <color indexed="48"/>
      </bottom>
      <diagonal/>
    </border>
    <border>
      <left style="hair">
        <color indexed="48"/>
      </left>
      <right/>
      <top style="hair">
        <color indexed="48"/>
      </top>
      <bottom style="hair">
        <color indexed="48"/>
      </bottom>
      <diagonal/>
    </border>
    <border>
      <left style="thin">
        <color indexed="48"/>
      </left>
      <right/>
      <top style="hair">
        <color indexed="48"/>
      </top>
      <bottom style="thin">
        <color indexed="48"/>
      </bottom>
      <diagonal/>
    </border>
    <border>
      <left/>
      <right/>
      <top style="hair">
        <color indexed="48"/>
      </top>
      <bottom style="thin">
        <color indexed="48"/>
      </bottom>
      <diagonal/>
    </border>
    <border>
      <left/>
      <right style="hair">
        <color indexed="48"/>
      </right>
      <top style="hair">
        <color indexed="48"/>
      </top>
      <bottom style="thin">
        <color indexed="48"/>
      </bottom>
      <diagonal/>
    </border>
    <border>
      <left style="hair">
        <color indexed="48"/>
      </left>
      <right/>
      <top style="hair">
        <color indexed="48"/>
      </top>
      <bottom style="thin">
        <color indexed="48"/>
      </bottom>
      <diagonal/>
    </border>
    <border>
      <left/>
      <right style="thin">
        <color indexed="48"/>
      </right>
      <top style="thin">
        <color indexed="48"/>
      </top>
      <bottom style="hair">
        <color indexed="48"/>
      </bottom>
      <diagonal/>
    </border>
    <border>
      <left/>
      <right style="thin">
        <color indexed="48"/>
      </right>
      <top style="hair">
        <color indexed="48"/>
      </top>
      <bottom style="hair">
        <color indexed="48"/>
      </bottom>
      <diagonal/>
    </border>
    <border>
      <left/>
      <right style="thin">
        <color indexed="48"/>
      </right>
      <top style="hair">
        <color indexed="48"/>
      </top>
      <bottom style="thin">
        <color indexed="48"/>
      </bottom>
      <diagonal/>
    </border>
    <border>
      <left/>
      <right style="hair">
        <color indexed="48"/>
      </right>
      <top style="thin">
        <color indexed="48"/>
      </top>
      <bottom style="thin">
        <color indexed="48"/>
      </bottom>
      <diagonal/>
    </border>
    <border>
      <left/>
      <right style="thin">
        <color indexed="48"/>
      </right>
      <top style="thin">
        <color indexed="48"/>
      </top>
      <bottom style="thin">
        <color indexed="48"/>
      </bottom>
      <diagonal/>
    </border>
    <border>
      <left style="hair">
        <color indexed="48"/>
      </left>
      <right/>
      <top style="thin">
        <color indexed="48"/>
      </top>
      <bottom style="thin">
        <color indexed="48"/>
      </bottom>
      <diagonal/>
    </border>
    <border>
      <left style="thin">
        <color indexed="48"/>
      </left>
      <right style="hair">
        <color indexed="48"/>
      </right>
      <top style="thin">
        <color indexed="48"/>
      </top>
      <bottom style="hair">
        <color indexed="48"/>
      </bottom>
      <diagonal/>
    </border>
    <border>
      <left style="hair">
        <color indexed="48"/>
      </left>
      <right style="thin">
        <color indexed="48"/>
      </right>
      <top style="thin">
        <color indexed="48"/>
      </top>
      <bottom style="hair">
        <color indexed="48"/>
      </bottom>
      <diagonal/>
    </border>
    <border>
      <left style="thin">
        <color indexed="48"/>
      </left>
      <right style="hair">
        <color indexed="48"/>
      </right>
      <top style="hair">
        <color indexed="48"/>
      </top>
      <bottom style="hair">
        <color indexed="48"/>
      </bottom>
      <diagonal/>
    </border>
    <border>
      <left style="hair">
        <color indexed="48"/>
      </left>
      <right style="thin">
        <color indexed="48"/>
      </right>
      <top style="hair">
        <color indexed="48"/>
      </top>
      <bottom style="hair">
        <color indexed="48"/>
      </bottom>
      <diagonal/>
    </border>
    <border>
      <left style="thin">
        <color indexed="48"/>
      </left>
      <right style="hair">
        <color indexed="48"/>
      </right>
      <top style="hair">
        <color indexed="48"/>
      </top>
      <bottom style="thin">
        <color indexed="48"/>
      </bottom>
      <diagonal/>
    </border>
    <border>
      <left style="hair">
        <color indexed="48"/>
      </left>
      <right style="thin">
        <color indexed="48"/>
      </right>
      <top style="hair">
        <color indexed="48"/>
      </top>
      <bottom style="thin">
        <color indexed="48"/>
      </bottom>
      <diagonal/>
    </border>
    <border>
      <left style="thin">
        <color indexed="48"/>
      </left>
      <right style="hair">
        <color indexed="48"/>
      </right>
      <top style="thin">
        <color indexed="48"/>
      </top>
      <bottom style="thin">
        <color indexed="48"/>
      </bottom>
      <diagonal/>
    </border>
    <border>
      <left style="hair">
        <color indexed="48"/>
      </left>
      <right style="thin">
        <color indexed="48"/>
      </right>
      <top style="thin">
        <color indexed="48"/>
      </top>
      <bottom style="thin">
        <color indexed="48"/>
      </bottom>
      <diagonal/>
    </border>
    <border>
      <left/>
      <right/>
      <top style="medium">
        <color indexed="12"/>
      </top>
      <bottom/>
      <diagonal/>
    </border>
    <border>
      <left/>
      <right/>
      <top/>
      <bottom style="hair">
        <color indexed="48"/>
      </bottom>
      <diagonal/>
    </border>
    <border>
      <left/>
      <right style="hair">
        <color indexed="48"/>
      </right>
      <top/>
      <bottom style="hair">
        <color indexed="48"/>
      </bottom>
      <diagonal/>
    </border>
    <border>
      <left style="hair">
        <color indexed="48"/>
      </left>
      <right/>
      <top/>
      <bottom style="hair">
        <color indexed="48"/>
      </bottom>
      <diagonal/>
    </border>
    <border>
      <left/>
      <right style="thin">
        <color indexed="48"/>
      </right>
      <top/>
      <bottom style="hair">
        <color indexed="48"/>
      </bottom>
      <diagonal/>
    </border>
    <border>
      <left style="thin">
        <color theme="3" tint="0.39991454817346722"/>
      </left>
      <right/>
      <top style="thin">
        <color theme="3" tint="0.39991454817346722"/>
      </top>
      <bottom/>
      <diagonal/>
    </border>
    <border>
      <left/>
      <right/>
      <top style="thin">
        <color theme="3" tint="0.39991454817346722"/>
      </top>
      <bottom/>
      <diagonal/>
    </border>
    <border>
      <left/>
      <right style="thin">
        <color theme="3" tint="0.39991454817346722"/>
      </right>
      <top style="thin">
        <color theme="3" tint="0.39991454817346722"/>
      </top>
      <bottom/>
      <diagonal/>
    </border>
    <border>
      <left style="thin">
        <color theme="3" tint="0.39991454817346722"/>
      </left>
      <right/>
      <top/>
      <bottom style="thin">
        <color theme="3" tint="0.39991454817346722"/>
      </bottom>
      <diagonal/>
    </border>
    <border>
      <left/>
      <right/>
      <top/>
      <bottom style="thin">
        <color theme="3" tint="0.39991454817346722"/>
      </bottom>
      <diagonal/>
    </border>
    <border>
      <left/>
      <right style="thin">
        <color theme="3" tint="0.39991454817346722"/>
      </right>
      <top/>
      <bottom style="thin">
        <color theme="3" tint="0.39991454817346722"/>
      </bottom>
      <diagonal/>
    </border>
    <border>
      <left style="thin">
        <color indexed="48"/>
      </left>
      <right style="hair">
        <color indexed="48"/>
      </right>
      <top style="thin">
        <color theme="3" tint="0.39991454817346722"/>
      </top>
      <bottom style="hair">
        <color indexed="48"/>
      </bottom>
      <diagonal/>
    </border>
    <border>
      <left style="hair">
        <color indexed="48"/>
      </left>
      <right style="thin">
        <color indexed="48"/>
      </right>
      <top style="thin">
        <color theme="3" tint="0.39991454817346722"/>
      </top>
      <bottom style="hair">
        <color indexed="48"/>
      </bottom>
      <diagonal/>
    </border>
    <border>
      <left style="thin">
        <color indexed="48"/>
      </left>
      <right/>
      <top style="thin">
        <color theme="3" tint="0.39991454817346722"/>
      </top>
      <bottom style="hair">
        <color indexed="48"/>
      </bottom>
      <diagonal/>
    </border>
    <border>
      <left/>
      <right/>
      <top style="thin">
        <color theme="3" tint="0.39991454817346722"/>
      </top>
      <bottom style="hair">
        <color indexed="48"/>
      </bottom>
      <diagonal/>
    </border>
    <border>
      <left/>
      <right style="hair">
        <color indexed="48"/>
      </right>
      <top style="thin">
        <color theme="3" tint="0.39991454817346722"/>
      </top>
      <bottom style="hair">
        <color indexed="48"/>
      </bottom>
      <diagonal/>
    </border>
    <border>
      <left style="thin">
        <color indexed="48"/>
      </left>
      <right/>
      <top style="thin">
        <color theme="3" tint="0.39991454817346722"/>
      </top>
      <bottom style="thin">
        <color indexed="48"/>
      </bottom>
      <diagonal/>
    </border>
    <border>
      <left/>
      <right style="hair">
        <color indexed="48"/>
      </right>
      <top style="thin">
        <color theme="3" tint="0.39991454817346722"/>
      </top>
      <bottom style="thin">
        <color indexed="48"/>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style="thin">
        <color rgb="FF0070C0"/>
      </bottom>
      <diagonal/>
    </border>
    <border>
      <left/>
      <right/>
      <top/>
      <bottom style="thin">
        <color indexed="48"/>
      </bottom>
      <diagonal/>
    </border>
    <border>
      <left style="thin">
        <color theme="3" tint="0.39991454817346722"/>
      </left>
      <right style="thin">
        <color theme="3" tint="0.39988402966399123"/>
      </right>
      <top style="thin">
        <color theme="3" tint="0.39991454817346722"/>
      </top>
      <bottom/>
      <diagonal/>
    </border>
    <border>
      <left style="thin">
        <color theme="3" tint="0.39988402966399123"/>
      </left>
      <right style="thin">
        <color theme="3" tint="0.39988402966399123"/>
      </right>
      <top style="thin">
        <color theme="3" tint="0.39991454817346722"/>
      </top>
      <bottom/>
      <diagonal/>
    </border>
    <border>
      <left style="thin">
        <color theme="3" tint="0.39988402966399123"/>
      </left>
      <right style="thin">
        <color theme="3" tint="0.39991454817346722"/>
      </right>
      <top style="thin">
        <color theme="3" tint="0.39991454817346722"/>
      </top>
      <bottom/>
      <diagonal/>
    </border>
    <border>
      <left style="thin">
        <color theme="3" tint="0.39991454817346722"/>
      </left>
      <right style="thin">
        <color theme="3" tint="0.39988402966399123"/>
      </right>
      <top/>
      <bottom style="thin">
        <color theme="3" tint="0.39991454817346722"/>
      </bottom>
      <diagonal/>
    </border>
    <border>
      <left style="thin">
        <color theme="3" tint="0.39988402966399123"/>
      </left>
      <right style="thin">
        <color theme="3" tint="0.39988402966399123"/>
      </right>
      <top/>
      <bottom style="thin">
        <color theme="3" tint="0.39991454817346722"/>
      </bottom>
      <diagonal/>
    </border>
    <border>
      <left style="thin">
        <color theme="3" tint="0.39988402966399123"/>
      </left>
      <right style="thin">
        <color theme="3" tint="0.39988402966399123"/>
      </right>
      <top/>
      <bottom/>
      <diagonal/>
    </border>
    <border>
      <left style="thin">
        <color theme="3" tint="0.39988402966399123"/>
      </left>
      <right style="thin">
        <color theme="3" tint="0.39991454817346722"/>
      </right>
      <top/>
      <bottom/>
      <diagonal/>
    </border>
    <border>
      <left style="thin">
        <color theme="3" tint="0.39988402966399123"/>
      </left>
      <right/>
      <top style="thin">
        <color theme="3" tint="0.39988402966399123"/>
      </top>
      <bottom style="thin">
        <color theme="3" tint="0.39988402966399123"/>
      </bottom>
      <diagonal/>
    </border>
    <border>
      <left/>
      <right style="thin">
        <color theme="3" tint="0.39988402966399123"/>
      </right>
      <top style="thin">
        <color theme="3" tint="0.39988402966399123"/>
      </top>
      <bottom style="thin">
        <color theme="3" tint="0.39988402966399123"/>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top/>
      <bottom/>
      <diagonal/>
    </border>
    <border>
      <left style="thin">
        <color theme="3" tint="0.39991454817346722"/>
      </left>
      <right/>
      <top/>
      <bottom/>
      <diagonal/>
    </border>
    <border>
      <left/>
      <right style="thin">
        <color theme="3" tint="0.39991454817346722"/>
      </right>
      <top/>
      <bottom/>
      <diagonal/>
    </border>
    <border>
      <left style="thin">
        <color theme="3" tint="0.39991454817346722"/>
      </left>
      <right/>
      <top/>
      <bottom style="thin">
        <color indexed="48"/>
      </bottom>
      <diagonal/>
    </border>
    <border>
      <left/>
      <right style="thin">
        <color theme="3" tint="0.39991454817346722"/>
      </right>
      <top/>
      <bottom style="thin">
        <color indexed="48"/>
      </bottom>
      <diagonal/>
    </border>
    <border>
      <left/>
      <right/>
      <top/>
      <bottom style="thin">
        <color rgb="FF0070C0"/>
      </bottom>
      <diagonal/>
    </border>
    <border>
      <left style="dotted">
        <color rgb="FF0070C0"/>
      </left>
      <right/>
      <top style="thin">
        <color rgb="FF0070C0"/>
      </top>
      <bottom style="dotted">
        <color rgb="FF0070C0"/>
      </bottom>
      <diagonal/>
    </border>
    <border>
      <left/>
      <right/>
      <top style="thin">
        <color rgb="FF0070C0"/>
      </top>
      <bottom style="dotted">
        <color rgb="FF0070C0"/>
      </bottom>
      <diagonal/>
    </border>
    <border>
      <left/>
      <right style="dotted">
        <color rgb="FF0070C0"/>
      </right>
      <top style="thin">
        <color rgb="FF0070C0"/>
      </top>
      <bottom style="dotted">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thin">
        <color rgb="FF0070C0"/>
      </bottom>
      <diagonal/>
    </border>
    <border>
      <left/>
      <right/>
      <top style="medium">
        <color rgb="FF0070C0"/>
      </top>
      <bottom style="thin">
        <color rgb="FF0070C0"/>
      </bottom>
      <diagonal/>
    </border>
    <border>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B0F0"/>
      </left>
      <right style="thin">
        <color rgb="FF00B0F0"/>
      </right>
      <top style="medium">
        <color rgb="FF00B0F0"/>
      </top>
      <bottom style="thin">
        <color rgb="FF00B0F0"/>
      </bottom>
      <diagonal/>
    </border>
    <border>
      <left style="thin">
        <color rgb="FF00B0F0"/>
      </left>
      <right style="thin">
        <color rgb="FF00B0F0"/>
      </right>
      <top style="medium">
        <color rgb="FF00B0F0"/>
      </top>
      <bottom style="thin">
        <color rgb="FF00B0F0"/>
      </bottom>
      <diagonal/>
    </border>
    <border>
      <left style="thin">
        <color rgb="FF00B0F0"/>
      </left>
      <right style="medium">
        <color rgb="FF00B0F0"/>
      </right>
      <top style="medium">
        <color rgb="FF00B0F0"/>
      </top>
      <bottom style="thin">
        <color rgb="FF00B0F0"/>
      </bottom>
      <diagonal/>
    </border>
    <border>
      <left style="medium">
        <color rgb="FF00B0F0"/>
      </left>
      <right style="thin">
        <color rgb="FF00B0F0"/>
      </right>
      <top style="thin">
        <color rgb="FF00B0F0"/>
      </top>
      <bottom style="thin">
        <color rgb="FF00B0F0"/>
      </bottom>
      <diagonal/>
    </border>
    <border>
      <left style="thin">
        <color rgb="FF00B0F0"/>
      </left>
      <right style="medium">
        <color rgb="FF00B0F0"/>
      </right>
      <top style="thin">
        <color rgb="FF00B0F0"/>
      </top>
      <bottom style="thin">
        <color rgb="FF00B0F0"/>
      </bottom>
      <diagonal/>
    </border>
    <border>
      <left style="medium">
        <color rgb="FF00B0F0"/>
      </left>
      <right/>
      <top style="thin">
        <color rgb="FF00B0F0"/>
      </top>
      <bottom style="thin">
        <color rgb="FF00B0F0"/>
      </bottom>
      <diagonal/>
    </border>
    <border>
      <left/>
      <right style="medium">
        <color rgb="FF00B0F0"/>
      </right>
      <top style="thin">
        <color rgb="FF00B0F0"/>
      </top>
      <bottom style="thin">
        <color rgb="FF00B0F0"/>
      </bottom>
      <diagonal/>
    </border>
    <border>
      <left style="medium">
        <color rgb="FF00B0F0"/>
      </left>
      <right style="thin">
        <color rgb="FF00B0F0"/>
      </right>
      <top style="thin">
        <color rgb="FF00B0F0"/>
      </top>
      <bottom style="medium">
        <color rgb="FF00B0F0"/>
      </bottom>
      <diagonal/>
    </border>
    <border>
      <left style="thin">
        <color rgb="FF00B0F0"/>
      </left>
      <right style="thin">
        <color rgb="FF00B0F0"/>
      </right>
      <top style="thin">
        <color rgb="FF00B0F0"/>
      </top>
      <bottom style="medium">
        <color rgb="FF00B0F0"/>
      </bottom>
      <diagonal/>
    </border>
    <border>
      <left style="thin">
        <color rgb="FF00B0F0"/>
      </left>
      <right style="medium">
        <color rgb="FF00B0F0"/>
      </right>
      <top style="thin">
        <color rgb="FF00B0F0"/>
      </top>
      <bottom style="medium">
        <color rgb="FF00B0F0"/>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rgb="FF0070C0"/>
      </left>
      <right/>
      <top style="thin">
        <color rgb="FF0070C0"/>
      </top>
      <bottom style="medium">
        <color rgb="FF0070C0"/>
      </bottom>
      <diagonal/>
    </border>
    <border>
      <left/>
      <right/>
      <top style="thin">
        <color rgb="FF0070C0"/>
      </top>
      <bottom style="medium">
        <color rgb="FF0070C0"/>
      </bottom>
      <diagonal/>
    </border>
    <border>
      <left/>
      <right style="medium">
        <color rgb="FF0070C0"/>
      </right>
      <top style="thin">
        <color rgb="FF0070C0"/>
      </top>
      <bottom style="medium">
        <color rgb="FF0070C0"/>
      </bottom>
      <diagonal/>
    </border>
    <border>
      <left style="medium">
        <color rgb="FF00B0F0"/>
      </left>
      <right style="medium">
        <color rgb="FF00B0F0"/>
      </right>
      <top style="medium">
        <color rgb="FF00B0F0"/>
      </top>
      <bottom/>
      <diagonal/>
    </border>
    <border>
      <left style="medium">
        <color rgb="FF00B0F0"/>
      </left>
      <right style="medium">
        <color rgb="FF00B0F0"/>
      </right>
      <top/>
      <bottom style="medium">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style="thin">
        <color rgb="FF00B0F0"/>
      </bottom>
      <diagonal/>
    </border>
    <border>
      <left style="medium">
        <color rgb="FF00B0F0"/>
      </left>
      <right style="medium">
        <color rgb="FF00B0F0"/>
      </right>
      <top/>
      <bottom/>
      <diagonal/>
    </border>
    <border>
      <left/>
      <right/>
      <top/>
      <bottom style="thin">
        <color rgb="FF00B0F0"/>
      </bottom>
      <diagonal/>
    </border>
    <border>
      <left style="medium">
        <color indexed="12"/>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right style="thin">
        <color rgb="FF00B0F0"/>
      </right>
      <top/>
      <bottom/>
      <diagonal/>
    </border>
    <border>
      <left style="thin">
        <color rgb="FF00B0F0"/>
      </left>
      <right/>
      <top/>
      <bottom style="thin">
        <color rgb="FF00B0F0"/>
      </bottom>
      <diagonal/>
    </border>
    <border>
      <left/>
      <right style="thin">
        <color rgb="FF00B0F0"/>
      </right>
      <top/>
      <bottom style="thin">
        <color rgb="FF00B0F0"/>
      </bottom>
      <diagonal/>
    </border>
  </borders>
  <cellStyleXfs count="2">
    <xf numFmtId="0" fontId="0" fillId="0" borderId="0"/>
    <xf numFmtId="0" fontId="9" fillId="0" borderId="0" applyNumberFormat="0" applyFill="0" applyBorder="0" applyAlignment="0" applyProtection="0">
      <alignment vertical="top"/>
      <protection locked="0"/>
    </xf>
  </cellStyleXfs>
  <cellXfs count="364">
    <xf numFmtId="0" fontId="0" fillId="0" borderId="0" xfId="0"/>
    <xf numFmtId="0" fontId="0" fillId="0" borderId="0" xfId="0" applyAlignment="1" applyProtection="1">
      <alignment horizontal="center" vertical="center"/>
      <protection hidden="1"/>
    </xf>
    <xf numFmtId="0" fontId="0" fillId="0" borderId="0" xfId="0" applyAlignment="1" applyProtection="1">
      <alignment vertical="center"/>
      <protection hidden="1"/>
    </xf>
    <xf numFmtId="164" fontId="0" fillId="0" borderId="0" xfId="0" applyNumberFormat="1" applyAlignment="1" applyProtection="1">
      <alignment horizontal="center" vertical="center"/>
      <protection hidden="1"/>
    </xf>
    <xf numFmtId="0" fontId="0" fillId="0" borderId="0" xfId="0" applyAlignment="1" applyProtection="1">
      <alignment horizontal="right" vertical="center"/>
      <protection hidden="1"/>
    </xf>
    <xf numFmtId="0" fontId="4"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5" fillId="0" borderId="0" xfId="0" applyFont="1" applyProtection="1">
      <protection hidden="1"/>
    </xf>
    <xf numFmtId="0" fontId="5" fillId="0" borderId="0" xfId="0" applyFont="1" applyAlignment="1" applyProtection="1">
      <alignment horizontal="left"/>
      <protection hidden="1"/>
    </xf>
    <xf numFmtId="0" fontId="7" fillId="2" borderId="1" xfId="0" applyFont="1" applyFill="1" applyBorder="1" applyAlignment="1" applyProtection="1">
      <alignment horizontal="left" indent="1"/>
      <protection hidden="1"/>
    </xf>
    <xf numFmtId="0" fontId="5" fillId="2" borderId="2" xfId="0" applyFont="1" applyFill="1" applyBorder="1" applyAlignment="1" applyProtection="1">
      <alignment horizontal="left"/>
      <protection hidden="1"/>
    </xf>
    <xf numFmtId="0" fontId="5" fillId="2" borderId="3" xfId="0" applyFont="1" applyFill="1" applyBorder="1" applyProtection="1">
      <protection hidden="1"/>
    </xf>
    <xf numFmtId="0" fontId="5" fillId="2" borderId="4" xfId="0" applyFont="1" applyFill="1" applyBorder="1" applyProtection="1">
      <protection hidden="1"/>
    </xf>
    <xf numFmtId="0" fontId="5" fillId="2" borderId="0" xfId="0" applyFont="1" applyFill="1" applyBorder="1" applyAlignment="1" applyProtection="1">
      <alignment horizontal="left"/>
      <protection hidden="1"/>
    </xf>
    <xf numFmtId="0" fontId="5" fillId="2" borderId="5" xfId="0" applyFont="1" applyFill="1" applyBorder="1" applyProtection="1">
      <protection hidden="1"/>
    </xf>
    <xf numFmtId="0" fontId="5" fillId="3" borderId="6" xfId="0" applyFont="1" applyFill="1" applyBorder="1" applyAlignment="1" applyProtection="1">
      <alignment horizontal="left" vertical="center" indent="1"/>
      <protection locked="0"/>
    </xf>
    <xf numFmtId="0" fontId="5" fillId="2" borderId="7" xfId="0" applyFont="1" applyFill="1" applyBorder="1" applyProtection="1">
      <protection hidden="1"/>
    </xf>
    <xf numFmtId="0" fontId="5" fillId="2" borderId="8" xfId="0" applyFont="1" applyFill="1" applyBorder="1" applyAlignment="1" applyProtection="1">
      <alignment horizontal="left"/>
      <protection hidden="1"/>
    </xf>
    <xf numFmtId="0" fontId="5" fillId="2" borderId="9" xfId="0" applyFont="1" applyFill="1" applyBorder="1" applyProtection="1">
      <protection hidden="1"/>
    </xf>
    <xf numFmtId="0" fontId="6" fillId="0" borderId="0" xfId="0" applyFont="1" applyAlignment="1" applyProtection="1">
      <alignment horizontal="left" vertical="center"/>
      <protection hidden="1"/>
    </xf>
    <xf numFmtId="0" fontId="5" fillId="3" borderId="6" xfId="0" applyFont="1" applyFill="1" applyBorder="1" applyAlignment="1" applyProtection="1">
      <alignment horizontal="left" indent="1"/>
      <protection locked="0"/>
    </xf>
    <xf numFmtId="0" fontId="0" fillId="0" borderId="12" xfId="0" applyBorder="1" applyAlignment="1" applyProtection="1">
      <alignment vertical="center" shrinkToFit="1"/>
      <protection hidden="1"/>
    </xf>
    <xf numFmtId="0" fontId="0" fillId="0" borderId="13" xfId="0" applyBorder="1" applyAlignment="1" applyProtection="1">
      <alignment vertical="center" shrinkToFit="1"/>
      <protection hidden="1"/>
    </xf>
    <xf numFmtId="0" fontId="0" fillId="0" borderId="14" xfId="0" applyBorder="1" applyAlignment="1" applyProtection="1">
      <alignment vertical="center" shrinkToFit="1"/>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0" fillId="0" borderId="15" xfId="0" applyBorder="1" applyAlignment="1" applyProtection="1">
      <alignment horizontal="center" vertical="center" shrinkToFit="1"/>
      <protection hidden="1"/>
    </xf>
    <xf numFmtId="0" fontId="0" fillId="0" borderId="16"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0" borderId="18" xfId="0" applyBorder="1" applyAlignment="1" applyProtection="1">
      <alignment horizontal="center" vertical="center" shrinkToFit="1"/>
      <protection hidden="1"/>
    </xf>
    <xf numFmtId="0" fontId="0" fillId="0" borderId="19" xfId="0" applyBorder="1" applyAlignment="1" applyProtection="1">
      <alignment horizontal="center" vertical="center" shrinkToFit="1"/>
      <protection hidden="1"/>
    </xf>
    <xf numFmtId="0" fontId="0" fillId="0" borderId="20" xfId="0" applyBorder="1" applyAlignment="1" applyProtection="1">
      <alignment horizontal="center" vertical="center" shrinkToFit="1"/>
      <protection hidden="1"/>
    </xf>
    <xf numFmtId="0" fontId="0" fillId="0" borderId="0" xfId="0" applyBorder="1" applyAlignment="1" applyProtection="1">
      <alignment vertical="center" shrinkToFit="1"/>
      <protection hidden="1"/>
    </xf>
    <xf numFmtId="0" fontId="0" fillId="0" borderId="0" xfId="0" applyBorder="1" applyAlignment="1" applyProtection="1">
      <alignment horizontal="center" vertical="center" shrinkToFit="1"/>
      <protection hidden="1"/>
    </xf>
    <xf numFmtId="0" fontId="6" fillId="2" borderId="21" xfId="0" applyFont="1" applyFill="1" applyBorder="1" applyAlignment="1" applyProtection="1">
      <alignment horizontal="left" vertical="center"/>
      <protection hidden="1"/>
    </xf>
    <xf numFmtId="0" fontId="6" fillId="2" borderId="22" xfId="0" applyFont="1" applyFill="1" applyBorder="1" applyAlignment="1" applyProtection="1">
      <alignment horizontal="left" vertical="center"/>
      <protection hidden="1"/>
    </xf>
    <xf numFmtId="0" fontId="5" fillId="2" borderId="23" xfId="0" applyFont="1" applyFill="1" applyBorder="1" applyProtection="1">
      <protection hidden="1"/>
    </xf>
    <xf numFmtId="0" fontId="5" fillId="2" borderId="4" xfId="0" applyFont="1" applyFill="1" applyBorder="1" applyAlignment="1" applyProtection="1">
      <alignment horizontal="left" indent="1"/>
      <protection hidden="1"/>
    </xf>
    <xf numFmtId="0" fontId="7" fillId="2" borderId="24" xfId="0" applyFont="1" applyFill="1" applyBorder="1" applyAlignment="1" applyProtection="1">
      <alignment horizontal="center"/>
      <protection hidden="1"/>
    </xf>
    <xf numFmtId="0" fontId="5" fillId="4" borderId="25" xfId="0" applyFont="1" applyFill="1" applyBorder="1" applyAlignment="1" applyProtection="1">
      <alignment horizontal="center"/>
      <protection hidden="1"/>
    </xf>
    <xf numFmtId="0" fontId="5" fillId="4" borderId="26" xfId="0" applyFont="1" applyFill="1" applyBorder="1" applyAlignment="1" applyProtection="1">
      <alignment horizontal="center"/>
      <protection hidden="1"/>
    </xf>
    <xf numFmtId="0" fontId="5" fillId="4" borderId="27" xfId="0" applyFont="1" applyFill="1" applyBorder="1" applyAlignment="1" applyProtection="1">
      <alignment horizontal="center"/>
      <protection hidden="1"/>
    </xf>
    <xf numFmtId="0" fontId="5" fillId="0" borderId="0" xfId="0" applyNumberFormat="1" applyFont="1" applyProtection="1">
      <protection hidden="1"/>
    </xf>
    <xf numFmtId="0" fontId="5" fillId="2" borderId="22" xfId="0" applyFont="1" applyFill="1" applyBorder="1" applyProtection="1">
      <protection hidden="1"/>
    </xf>
    <xf numFmtId="0" fontId="5" fillId="0" borderId="0" xfId="0" applyNumberFormat="1" applyFont="1" applyAlignment="1" applyProtection="1">
      <alignment vertical="center"/>
      <protection hidden="1"/>
    </xf>
    <xf numFmtId="165" fontId="6" fillId="0" borderId="0" xfId="0" applyNumberFormat="1" applyFont="1" applyFill="1" applyAlignment="1" applyProtection="1">
      <alignment horizontal="left" vertical="center"/>
      <protection hidden="1"/>
    </xf>
    <xf numFmtId="165" fontId="5" fillId="0" borderId="0" xfId="0" applyNumberFormat="1" applyFont="1" applyFill="1" applyProtection="1">
      <protection hidden="1"/>
    </xf>
    <xf numFmtId="165" fontId="5" fillId="0" borderId="0" xfId="0" applyNumberFormat="1" applyFont="1" applyFill="1" applyAlignment="1" applyProtection="1">
      <alignment horizontal="left"/>
      <protection hidden="1"/>
    </xf>
    <xf numFmtId="165" fontId="6" fillId="0" borderId="0" xfId="0" quotePrefix="1" applyNumberFormat="1" applyFont="1" applyFill="1" applyAlignment="1" applyProtection="1">
      <alignment horizontal="left" vertical="center"/>
      <protection hidden="1"/>
    </xf>
    <xf numFmtId="0" fontId="5" fillId="2" borderId="0" xfId="0" applyFont="1" applyFill="1" applyBorder="1" applyProtection="1">
      <protection hidden="1"/>
    </xf>
    <xf numFmtId="0" fontId="1" fillId="0" borderId="0" xfId="0" applyFont="1"/>
    <xf numFmtId="0" fontId="1" fillId="3" borderId="6" xfId="0" applyFont="1" applyFill="1" applyBorder="1" applyAlignment="1" applyProtection="1">
      <alignment horizontal="left" vertical="center" indent="1"/>
      <protection locked="0"/>
    </xf>
    <xf numFmtId="0" fontId="11" fillId="5" borderId="10" xfId="0" applyFont="1" applyFill="1" applyBorder="1" applyAlignment="1" applyProtection="1">
      <alignment horizontal="center" vertical="center" shrinkToFit="1"/>
      <protection hidden="1"/>
    </xf>
    <xf numFmtId="0" fontId="11" fillId="5" borderId="11" xfId="0" applyFont="1" applyFill="1" applyBorder="1" applyAlignment="1" applyProtection="1">
      <alignment horizontal="center" vertical="center" shrinkToFit="1"/>
      <protection hidden="1"/>
    </xf>
    <xf numFmtId="0" fontId="5" fillId="6" borderId="49" xfId="0" applyFont="1" applyFill="1" applyBorder="1" applyAlignment="1" applyProtection="1">
      <alignment horizontal="center" vertical="center"/>
      <protection locked="0"/>
    </xf>
    <xf numFmtId="0" fontId="5" fillId="6" borderId="50" xfId="0" applyFont="1" applyFill="1" applyBorder="1" applyAlignment="1" applyProtection="1">
      <alignment horizontal="center" vertical="center"/>
      <protection locked="0"/>
    </xf>
    <xf numFmtId="0" fontId="5" fillId="6" borderId="51" xfId="0" applyFont="1" applyFill="1" applyBorder="1" applyAlignment="1" applyProtection="1">
      <alignment horizontal="center" vertical="center"/>
      <protection locked="0"/>
    </xf>
    <xf numFmtId="0" fontId="5" fillId="6" borderId="52" xfId="0" applyFont="1" applyFill="1" applyBorder="1" applyAlignment="1" applyProtection="1">
      <alignment horizontal="center" vertical="center"/>
      <protection locked="0"/>
    </xf>
    <xf numFmtId="0" fontId="5" fillId="6" borderId="66" xfId="0" applyFont="1" applyFill="1" applyBorder="1" applyAlignment="1" applyProtection="1">
      <alignment horizontal="center" vertical="center"/>
      <protection locked="0"/>
    </xf>
    <xf numFmtId="0" fontId="5" fillId="6" borderId="67" xfId="0" applyFont="1" applyFill="1" applyBorder="1" applyAlignment="1" applyProtection="1">
      <alignment horizontal="center" vertical="center"/>
      <protection locked="0"/>
    </xf>
    <xf numFmtId="0" fontId="5" fillId="6" borderId="47" xfId="0" applyFont="1" applyFill="1" applyBorder="1" applyAlignment="1" applyProtection="1">
      <alignment horizontal="center" vertical="center"/>
      <protection locked="0"/>
    </xf>
    <xf numFmtId="0" fontId="5" fillId="6" borderId="48" xfId="0" applyFont="1" applyFill="1" applyBorder="1" applyAlignment="1" applyProtection="1">
      <alignment horizontal="center" vertical="center"/>
      <protection locked="0"/>
    </xf>
    <xf numFmtId="0" fontId="5" fillId="6" borderId="53" xfId="0" applyFont="1" applyFill="1" applyBorder="1" applyAlignment="1" applyProtection="1">
      <alignment horizontal="center" vertical="center"/>
      <protection locked="0"/>
    </xf>
    <xf numFmtId="0" fontId="5" fillId="6" borderId="54" xfId="0" applyFont="1" applyFill="1" applyBorder="1" applyAlignment="1" applyProtection="1">
      <alignment horizontal="center" vertical="center"/>
      <protection locked="0"/>
    </xf>
    <xf numFmtId="165" fontId="1" fillId="0" borderId="0" xfId="0" applyNumberFormat="1" applyFont="1" applyFill="1" applyBorder="1" applyAlignment="1" applyProtection="1">
      <alignment horizontal="center" vertical="center"/>
      <protection hidden="1"/>
    </xf>
    <xf numFmtId="165" fontId="1" fillId="0" borderId="0" xfId="0" applyNumberFormat="1" applyFont="1" applyFill="1" applyBorder="1" applyAlignment="1" applyProtection="1">
      <alignment vertical="center"/>
      <protection hidden="1"/>
    </xf>
    <xf numFmtId="165" fontId="1" fillId="0" borderId="0" xfId="0" applyNumberFormat="1" applyFont="1" applyFill="1" applyAlignment="1" applyProtection="1">
      <alignment vertical="center"/>
      <protection hidden="1"/>
    </xf>
    <xf numFmtId="165" fontId="1" fillId="0" borderId="0" xfId="0" applyNumberFormat="1" applyFont="1" applyFill="1" applyAlignment="1" applyProtection="1">
      <alignment horizontal="center" vertical="center"/>
      <protection hidden="1"/>
    </xf>
    <xf numFmtId="165" fontId="1" fillId="0" borderId="0" xfId="0" applyNumberFormat="1" applyFont="1" applyAlignment="1" applyProtection="1">
      <alignment horizontal="center" vertical="center"/>
      <protection hidden="1"/>
    </xf>
    <xf numFmtId="165" fontId="1" fillId="0" borderId="0" xfId="0" applyNumberFormat="1" applyFont="1" applyAlignment="1" applyProtection="1">
      <alignment vertical="center"/>
      <protection hidden="1"/>
    </xf>
    <xf numFmtId="165" fontId="1" fillId="0" borderId="0" xfId="0" applyNumberFormat="1" applyFont="1" applyFill="1" applyBorder="1" applyAlignment="1" applyProtection="1">
      <alignment horizontal="left" vertical="center"/>
      <protection hidden="1"/>
    </xf>
    <xf numFmtId="0" fontId="1" fillId="3" borderId="6" xfId="0" applyFont="1" applyFill="1" applyBorder="1" applyAlignment="1" applyProtection="1">
      <alignment horizontal="left" indent="1"/>
      <protection locked="0"/>
    </xf>
    <xf numFmtId="0" fontId="0" fillId="0" borderId="0" xfId="0" applyFill="1" applyBorder="1" applyAlignment="1" applyProtection="1">
      <alignment horizontal="center" vertical="center" shrinkToFit="1"/>
      <protection hidden="1"/>
    </xf>
    <xf numFmtId="0" fontId="1" fillId="0" borderId="0" xfId="0" applyFont="1" applyFill="1" applyBorder="1" applyAlignment="1" applyProtection="1">
      <alignment horizontal="center" vertical="center" shrinkToFit="1"/>
      <protection hidden="1"/>
    </xf>
    <xf numFmtId="164" fontId="0" fillId="0" borderId="0" xfId="0" applyNumberFormat="1" applyFill="1" applyBorder="1" applyAlignment="1" applyProtection="1">
      <alignment horizontal="center" vertical="center" shrinkToFit="1"/>
      <protection hidden="1"/>
    </xf>
    <xf numFmtId="0" fontId="0" fillId="0" borderId="0" xfId="0" applyFill="1" applyBorder="1" applyAlignment="1" applyProtection="1">
      <alignment horizontal="right" vertical="center" indent="3" shrinkToFit="1"/>
      <protection hidden="1"/>
    </xf>
    <xf numFmtId="0" fontId="0" fillId="0" borderId="0" xfId="0" applyFill="1" applyBorder="1" applyAlignment="1" applyProtection="1">
      <alignment horizontal="left" vertical="center" indent="3" shrinkToFit="1"/>
      <protection hidden="1"/>
    </xf>
    <xf numFmtId="0" fontId="1" fillId="0" borderId="0" xfId="0" applyFont="1" applyFill="1" applyBorder="1" applyAlignment="1" applyProtection="1">
      <alignment horizontal="right" vertical="center" shrinkToFit="1"/>
      <protection hidden="1"/>
    </xf>
    <xf numFmtId="0" fontId="0" fillId="0" borderId="0" xfId="0" applyFill="1" applyBorder="1" applyAlignment="1" applyProtection="1">
      <alignment horizontal="right" vertical="center" shrinkToFit="1"/>
      <protection hidden="1"/>
    </xf>
    <xf numFmtId="0" fontId="0" fillId="0" borderId="0" xfId="0" applyFill="1" applyAlignment="1" applyProtection="1">
      <alignment vertical="center"/>
      <protection hidden="1"/>
    </xf>
    <xf numFmtId="0" fontId="0" fillId="0" borderId="0" xfId="0" applyFill="1" applyBorder="1" applyAlignment="1" applyProtection="1">
      <alignment vertical="center" shrinkToFit="1"/>
      <protection hidden="1"/>
    </xf>
    <xf numFmtId="0" fontId="0" fillId="0" borderId="0" xfId="0" applyProtection="1">
      <protection hidden="1"/>
    </xf>
    <xf numFmtId="0" fontId="5" fillId="0" borderId="0" xfId="0" applyFont="1" applyFill="1" applyBorder="1" applyAlignment="1" applyProtection="1">
      <alignment horizontal="center" vertical="center"/>
      <protection hidden="1"/>
    </xf>
    <xf numFmtId="165" fontId="0" fillId="0" borderId="0" xfId="0" applyNumberFormat="1" applyAlignment="1" applyProtection="1">
      <alignment vertical="center"/>
      <protection hidden="1"/>
    </xf>
    <xf numFmtId="0" fontId="0" fillId="8" borderId="68" xfId="0" applyFill="1" applyBorder="1" applyAlignment="1" applyProtection="1">
      <alignment horizontal="center" vertical="center" shrinkToFit="1"/>
      <protection hidden="1"/>
    </xf>
    <xf numFmtId="0" fontId="1" fillId="8" borderId="69" xfId="0" applyFont="1" applyFill="1" applyBorder="1" applyAlignment="1" applyProtection="1">
      <alignment horizontal="center" vertical="center" shrinkToFit="1"/>
      <protection hidden="1"/>
    </xf>
    <xf numFmtId="0" fontId="0" fillId="8" borderId="69" xfId="0" applyFill="1" applyBorder="1" applyAlignment="1" applyProtection="1">
      <alignment horizontal="center" vertical="center" shrinkToFit="1"/>
      <protection hidden="1"/>
    </xf>
    <xf numFmtId="164" fontId="0" fillId="8" borderId="70" xfId="0" applyNumberFormat="1" applyFill="1" applyBorder="1" applyAlignment="1" applyProtection="1">
      <alignment horizontal="center" vertical="center" shrinkToFit="1"/>
      <protection hidden="1"/>
    </xf>
    <xf numFmtId="0" fontId="0" fillId="8" borderId="67" xfId="0" applyFill="1" applyBorder="1" applyAlignment="1" applyProtection="1">
      <alignment horizontal="right" vertical="center" indent="3" shrinkToFit="1"/>
      <protection hidden="1"/>
    </xf>
    <xf numFmtId="0" fontId="0" fillId="8" borderId="33" xfId="0" applyFill="1" applyBorder="1" applyAlignment="1" applyProtection="1">
      <alignment horizontal="center" vertical="center" shrinkToFit="1"/>
      <protection hidden="1"/>
    </xf>
    <xf numFmtId="0" fontId="1" fillId="8" borderId="34" xfId="0" applyFont="1" applyFill="1" applyBorder="1" applyAlignment="1" applyProtection="1">
      <alignment horizontal="center" vertical="center" shrinkToFit="1"/>
      <protection hidden="1"/>
    </xf>
    <xf numFmtId="0" fontId="0" fillId="8" borderId="34" xfId="0" applyFill="1" applyBorder="1" applyAlignment="1" applyProtection="1">
      <alignment horizontal="center" vertical="center" shrinkToFit="1"/>
      <protection hidden="1"/>
    </xf>
    <xf numFmtId="164" fontId="0" fillId="8" borderId="35" xfId="0" applyNumberFormat="1" applyFill="1" applyBorder="1" applyAlignment="1" applyProtection="1">
      <alignment horizontal="center" vertical="center" shrinkToFit="1"/>
      <protection hidden="1"/>
    </xf>
    <xf numFmtId="0" fontId="0" fillId="8" borderId="50" xfId="0" applyFill="1" applyBorder="1" applyAlignment="1" applyProtection="1">
      <alignment horizontal="right" vertical="center" indent="3" shrinkToFit="1"/>
      <protection hidden="1"/>
    </xf>
    <xf numFmtId="0" fontId="0" fillId="8" borderId="37" xfId="0" applyFill="1" applyBorder="1" applyAlignment="1" applyProtection="1">
      <alignment horizontal="center" vertical="center" shrinkToFit="1"/>
      <protection hidden="1"/>
    </xf>
    <xf numFmtId="0" fontId="1" fillId="8" borderId="38" xfId="0" applyFont="1" applyFill="1" applyBorder="1" applyAlignment="1" applyProtection="1">
      <alignment horizontal="center" vertical="center" shrinkToFit="1"/>
      <protection hidden="1"/>
    </xf>
    <xf numFmtId="0" fontId="0" fillId="8" borderId="38" xfId="0" applyFill="1" applyBorder="1" applyAlignment="1" applyProtection="1">
      <alignment horizontal="center" vertical="center" shrinkToFit="1"/>
      <protection hidden="1"/>
    </xf>
    <xf numFmtId="164" fontId="0" fillId="8" borderId="39" xfId="0" applyNumberFormat="1" applyFill="1" applyBorder="1" applyAlignment="1" applyProtection="1">
      <alignment horizontal="center" vertical="center" shrinkToFit="1"/>
      <protection hidden="1"/>
    </xf>
    <xf numFmtId="0" fontId="0" fillId="8" borderId="52" xfId="0" applyFill="1" applyBorder="1" applyAlignment="1" applyProtection="1">
      <alignment horizontal="right" vertical="center" indent="3" shrinkToFit="1"/>
      <protection hidden="1"/>
    </xf>
    <xf numFmtId="0" fontId="0" fillId="8" borderId="57" xfId="0" applyFill="1" applyBorder="1" applyAlignment="1" applyProtection="1">
      <alignment horizontal="left" vertical="center" indent="3" shrinkToFit="1"/>
      <protection hidden="1"/>
    </xf>
    <xf numFmtId="0" fontId="0" fillId="8" borderId="35" xfId="0" applyFill="1" applyBorder="1" applyAlignment="1" applyProtection="1">
      <alignment horizontal="left" vertical="center" indent="3" shrinkToFit="1"/>
      <protection hidden="1"/>
    </xf>
    <xf numFmtId="0" fontId="0" fillId="8" borderId="39" xfId="0" applyFill="1" applyBorder="1" applyAlignment="1" applyProtection="1">
      <alignment horizontal="left" vertical="center" indent="3" shrinkToFit="1"/>
      <protection hidden="1"/>
    </xf>
    <xf numFmtId="0" fontId="0" fillId="8" borderId="29" xfId="0" applyFill="1" applyBorder="1" applyAlignment="1" applyProtection="1">
      <alignment horizontal="center" vertical="center" shrinkToFit="1"/>
      <protection hidden="1"/>
    </xf>
    <xf numFmtId="0" fontId="1" fillId="8" borderId="30" xfId="0" applyFont="1" applyFill="1" applyBorder="1" applyAlignment="1" applyProtection="1">
      <alignment horizontal="center" vertical="center" shrinkToFit="1"/>
      <protection hidden="1"/>
    </xf>
    <xf numFmtId="0" fontId="0" fillId="8" borderId="30" xfId="0" applyFill="1" applyBorder="1" applyAlignment="1" applyProtection="1">
      <alignment horizontal="center" vertical="center" shrinkToFit="1"/>
      <protection hidden="1"/>
    </xf>
    <xf numFmtId="164" fontId="0" fillId="8" borderId="31" xfId="0" applyNumberFormat="1" applyFill="1" applyBorder="1" applyAlignment="1" applyProtection="1">
      <alignment horizontal="center" vertical="center" shrinkToFit="1"/>
      <protection hidden="1"/>
    </xf>
    <xf numFmtId="0" fontId="0" fillId="8" borderId="32" xfId="0" applyFill="1" applyBorder="1" applyAlignment="1" applyProtection="1">
      <alignment horizontal="right" vertical="center" shrinkToFit="1"/>
      <protection hidden="1"/>
    </xf>
    <xf numFmtId="0" fontId="0" fillId="8" borderId="36" xfId="0" applyFill="1" applyBorder="1" applyAlignment="1" applyProtection="1">
      <alignment horizontal="right" vertical="center" shrinkToFit="1"/>
      <protection hidden="1"/>
    </xf>
    <xf numFmtId="0" fontId="0" fillId="8" borderId="40" xfId="0" applyFill="1" applyBorder="1" applyAlignment="1" applyProtection="1">
      <alignment horizontal="right" vertical="center" shrinkToFit="1"/>
      <protection hidden="1"/>
    </xf>
    <xf numFmtId="0" fontId="0" fillId="8" borderId="31" xfId="0" applyFill="1" applyBorder="1" applyAlignment="1" applyProtection="1">
      <alignment horizontal="left" vertical="center" shrinkToFit="1"/>
      <protection hidden="1"/>
    </xf>
    <xf numFmtId="0" fontId="1" fillId="8" borderId="41" xfId="0" applyFont="1" applyFill="1" applyBorder="1" applyAlignment="1" applyProtection="1">
      <alignment horizontal="right" vertical="center" shrinkToFit="1"/>
      <protection hidden="1"/>
    </xf>
    <xf numFmtId="0" fontId="0" fillId="8" borderId="35" xfId="0" applyFill="1" applyBorder="1" applyAlignment="1" applyProtection="1">
      <alignment horizontal="left" vertical="center" shrinkToFit="1"/>
      <protection hidden="1"/>
    </xf>
    <xf numFmtId="0" fontId="1" fillId="8" borderId="42" xfId="0" applyFont="1" applyFill="1" applyBorder="1" applyAlignment="1" applyProtection="1">
      <alignment horizontal="right" vertical="center" shrinkToFit="1"/>
      <protection hidden="1"/>
    </xf>
    <xf numFmtId="0" fontId="0" fillId="8" borderId="39" xfId="0" applyFill="1" applyBorder="1" applyAlignment="1" applyProtection="1">
      <alignment horizontal="left" vertical="center" shrinkToFit="1"/>
      <protection hidden="1"/>
    </xf>
    <xf numFmtId="0" fontId="1" fillId="8" borderId="43" xfId="0" applyFont="1" applyFill="1" applyBorder="1" applyAlignment="1" applyProtection="1">
      <alignment horizontal="right" vertical="center" shrinkToFit="1"/>
      <protection hidden="1"/>
    </xf>
    <xf numFmtId="0" fontId="5" fillId="8" borderId="30" xfId="0" applyFont="1" applyFill="1" applyBorder="1" applyAlignment="1" applyProtection="1">
      <alignment horizontal="center" vertical="center" shrinkToFit="1"/>
      <protection hidden="1"/>
    </xf>
    <xf numFmtId="0" fontId="5" fillId="8" borderId="34" xfId="0" applyFont="1" applyFill="1" applyBorder="1" applyAlignment="1" applyProtection="1">
      <alignment horizontal="center" vertical="center" shrinkToFit="1"/>
      <protection hidden="1"/>
    </xf>
    <xf numFmtId="0" fontId="5" fillId="8" borderId="38" xfId="0" applyFont="1" applyFill="1" applyBorder="1" applyAlignment="1" applyProtection="1">
      <alignment horizontal="center" vertical="center" shrinkToFit="1"/>
      <protection hidden="1"/>
    </xf>
    <xf numFmtId="0" fontId="0" fillId="8" borderId="41" xfId="0" applyFill="1" applyBorder="1" applyAlignment="1" applyProtection="1">
      <alignment horizontal="right" vertical="center" shrinkToFit="1"/>
      <protection hidden="1"/>
    </xf>
    <xf numFmtId="0" fontId="0" fillId="8" borderId="42" xfId="0" applyFill="1" applyBorder="1" applyAlignment="1" applyProtection="1">
      <alignment horizontal="right" vertical="center" shrinkToFit="1"/>
      <protection hidden="1"/>
    </xf>
    <xf numFmtId="0" fontId="0" fillId="8" borderId="43" xfId="0" applyFill="1" applyBorder="1" applyAlignment="1" applyProtection="1">
      <alignment horizontal="right" vertical="center" shrinkToFit="1"/>
      <protection hidden="1"/>
    </xf>
    <xf numFmtId="0" fontId="0" fillId="8" borderId="46" xfId="0" applyFill="1" applyBorder="1" applyAlignment="1" applyProtection="1">
      <alignment horizontal="right" vertical="center" shrinkToFit="1"/>
      <protection hidden="1"/>
    </xf>
    <xf numFmtId="0" fontId="0" fillId="8" borderId="44" xfId="0" applyFill="1" applyBorder="1" applyAlignment="1" applyProtection="1">
      <alignment horizontal="left" vertical="center" shrinkToFit="1"/>
      <protection hidden="1"/>
    </xf>
    <xf numFmtId="0" fontId="0" fillId="8" borderId="45" xfId="0" applyFill="1" applyBorder="1" applyAlignment="1" applyProtection="1">
      <alignment horizontal="right" vertical="center" shrinkToFit="1"/>
      <protection hidden="1"/>
    </xf>
    <xf numFmtId="0" fontId="13" fillId="0" borderId="0" xfId="0" applyFont="1" applyFill="1" applyBorder="1" applyAlignment="1" applyProtection="1">
      <alignment vertical="center"/>
      <protection hidden="1"/>
    </xf>
    <xf numFmtId="0" fontId="1" fillId="2" borderId="4" xfId="0" applyFont="1" applyFill="1" applyBorder="1" applyAlignment="1" applyProtection="1">
      <alignment horizontal="right" vertical="center"/>
      <protection hidden="1"/>
    </xf>
    <xf numFmtId="0" fontId="1" fillId="4" borderId="28" xfId="0" applyFont="1" applyFill="1" applyBorder="1" applyProtection="1">
      <protection hidden="1"/>
    </xf>
    <xf numFmtId="0" fontId="1" fillId="4" borderId="26" xfId="0" applyFont="1" applyFill="1" applyBorder="1" applyProtection="1">
      <protection hidden="1"/>
    </xf>
    <xf numFmtId="0" fontId="1" fillId="4" borderId="27" xfId="0" applyFont="1" applyFill="1" applyBorder="1" applyProtection="1">
      <protection hidden="1"/>
    </xf>
    <xf numFmtId="0" fontId="1" fillId="2" borderId="4" xfId="0" applyFont="1" applyFill="1" applyBorder="1" applyAlignment="1" applyProtection="1">
      <alignment horizontal="right"/>
      <protection hidden="1"/>
    </xf>
    <xf numFmtId="0" fontId="0" fillId="0" borderId="0" xfId="0" applyFill="1" applyBorder="1" applyProtection="1">
      <protection hidden="1"/>
    </xf>
    <xf numFmtId="0" fontId="12" fillId="0" borderId="0" xfId="0" applyFont="1" applyFill="1" applyBorder="1" applyAlignment="1" applyProtection="1">
      <alignment horizontal="center" vertical="center"/>
      <protection hidden="1"/>
    </xf>
    <xf numFmtId="0" fontId="1" fillId="8" borderId="41" xfId="0" applyFont="1" applyFill="1" applyBorder="1" applyAlignment="1" applyProtection="1">
      <alignment horizontal="center" vertical="center" shrinkToFit="1"/>
      <protection hidden="1"/>
    </xf>
    <xf numFmtId="0" fontId="22" fillId="0" borderId="0" xfId="0" applyFont="1" applyBorder="1" applyAlignment="1">
      <alignment horizontal="center" vertical="center" wrapText="1"/>
    </xf>
    <xf numFmtId="0" fontId="22" fillId="0" borderId="0" xfId="0" applyFont="1" applyAlignment="1">
      <alignment horizontal="center" vertical="center"/>
    </xf>
    <xf numFmtId="0" fontId="11" fillId="0" borderId="0" xfId="0" applyFont="1" applyAlignment="1" applyProtection="1">
      <alignment vertical="center"/>
      <protection hidden="1"/>
    </xf>
    <xf numFmtId="0" fontId="24" fillId="0" borderId="0" xfId="0" applyFont="1" applyAlignment="1">
      <alignment horizontal="center" vertical="center"/>
    </xf>
    <xf numFmtId="0" fontId="7" fillId="0" borderId="90" xfId="0" applyFont="1" applyFill="1" applyBorder="1" applyAlignment="1" applyProtection="1">
      <alignment vertical="center" wrapText="1"/>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wrapText="1"/>
      <protection hidden="1"/>
    </xf>
    <xf numFmtId="0" fontId="25" fillId="9" borderId="87" xfId="0" applyFont="1" applyFill="1" applyBorder="1" applyAlignment="1" applyProtection="1">
      <alignment horizontal="center" vertical="center"/>
      <protection hidden="1"/>
    </xf>
    <xf numFmtId="0" fontId="18" fillId="0" borderId="87" xfId="0" applyFont="1" applyBorder="1" applyAlignment="1" applyProtection="1">
      <alignment horizontal="center" vertical="center" wrapText="1"/>
      <protection hidden="1"/>
    </xf>
    <xf numFmtId="0" fontId="17" fillId="0" borderId="87" xfId="0" applyFont="1" applyBorder="1" applyAlignment="1" applyProtection="1">
      <alignment horizontal="center" vertical="center" wrapText="1"/>
      <protection hidden="1"/>
    </xf>
    <xf numFmtId="0" fontId="25" fillId="9" borderId="87" xfId="0" applyFont="1" applyFill="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28" fillId="8" borderId="0" xfId="0" applyFont="1" applyFill="1" applyBorder="1" applyAlignment="1" applyProtection="1">
      <alignment vertical="center" wrapText="1"/>
      <protection hidden="1"/>
    </xf>
    <xf numFmtId="0" fontId="14" fillId="0" borderId="0" xfId="1" applyFont="1" applyFill="1" applyBorder="1" applyAlignment="1" applyProtection="1">
      <alignment vertical="center" wrapText="1"/>
      <protection hidden="1"/>
    </xf>
    <xf numFmtId="0" fontId="1" fillId="0" borderId="0" xfId="0" applyNumberFormat="1" applyFont="1" applyAlignment="1" applyProtection="1">
      <alignment horizontal="center" vertical="center"/>
      <protection hidden="1"/>
    </xf>
    <xf numFmtId="0" fontId="1" fillId="0" borderId="0" xfId="0" applyNumberFormat="1" applyFont="1" applyAlignment="1" applyProtection="1">
      <alignment vertical="center"/>
      <protection hidden="1"/>
    </xf>
    <xf numFmtId="0" fontId="37" fillId="0" borderId="0" xfId="1" applyFont="1" applyFill="1" applyBorder="1" applyAlignment="1" applyProtection="1">
      <alignment horizontal="center" vertical="center" wrapText="1"/>
      <protection hidden="1"/>
    </xf>
    <xf numFmtId="0" fontId="37" fillId="0" borderId="0" xfId="0" applyNumberFormat="1" applyFont="1" applyAlignment="1" applyProtection="1">
      <alignment horizontal="center" vertical="center"/>
      <protection hidden="1"/>
    </xf>
    <xf numFmtId="0" fontId="40" fillId="0" borderId="0" xfId="1" applyFont="1" applyFill="1" applyBorder="1" applyAlignment="1" applyProtection="1">
      <alignment vertical="center"/>
      <protection hidden="1"/>
    </xf>
    <xf numFmtId="0" fontId="1" fillId="0" borderId="0" xfId="0" applyFont="1" applyAlignment="1" applyProtection="1">
      <alignment vertical="center" shrinkToFit="1"/>
      <protection hidden="1"/>
    </xf>
    <xf numFmtId="0" fontId="40" fillId="0" borderId="0" xfId="1" applyNumberFormat="1" applyFont="1" applyFill="1" applyBorder="1" applyAlignment="1" applyProtection="1">
      <alignment vertical="center"/>
      <protection hidden="1"/>
    </xf>
    <xf numFmtId="0" fontId="40" fillId="0" borderId="0" xfId="1" applyFont="1" applyFill="1" applyBorder="1" applyAlignment="1" applyProtection="1">
      <alignment horizontal="center" vertical="center"/>
      <protection hidden="1"/>
    </xf>
    <xf numFmtId="0" fontId="1" fillId="0" borderId="0" xfId="0" applyNumberFormat="1" applyFont="1" applyFill="1" applyBorder="1" applyAlignment="1" applyProtection="1">
      <alignment horizontal="center" vertical="center"/>
      <protection hidden="1"/>
    </xf>
    <xf numFmtId="0" fontId="1" fillId="0" borderId="0" xfId="0" applyFont="1" applyAlignment="1" applyProtection="1">
      <alignment horizontal="center" vertical="center" shrinkToFit="1"/>
      <protection hidden="1"/>
    </xf>
    <xf numFmtId="0" fontId="41" fillId="0" borderId="0" xfId="1" applyFont="1" applyFill="1" applyBorder="1" applyAlignment="1" applyProtection="1">
      <alignment horizontal="center" vertical="center" wrapText="1"/>
      <protection hidden="1"/>
    </xf>
    <xf numFmtId="0" fontId="1" fillId="0" borderId="0" xfId="0" applyNumberFormat="1" applyFont="1" applyFill="1" applyBorder="1" applyAlignment="1" applyProtection="1">
      <alignment vertical="center"/>
      <protection hidden="1"/>
    </xf>
    <xf numFmtId="0" fontId="1" fillId="0" borderId="0" xfId="0" applyNumberFormat="1" applyFont="1" applyFill="1" applyBorder="1" applyAlignment="1" applyProtection="1">
      <alignment horizontal="left" vertical="center"/>
      <protection hidden="1"/>
    </xf>
    <xf numFmtId="0" fontId="1" fillId="0" borderId="73"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1" fillId="0" borderId="120" xfId="0" applyNumberFormat="1" applyFont="1" applyBorder="1" applyAlignment="1" applyProtection="1">
      <alignment horizontal="center" vertical="center"/>
      <protection hidden="1"/>
    </xf>
    <xf numFmtId="0" fontId="1" fillId="0" borderId="87" xfId="0" applyNumberFormat="1" applyFont="1" applyBorder="1" applyAlignment="1" applyProtection="1">
      <alignment horizontal="center" vertical="center"/>
      <protection hidden="1"/>
    </xf>
    <xf numFmtId="0" fontId="1" fillId="0" borderId="146" xfId="0" applyNumberFormat="1" applyFont="1" applyBorder="1" applyAlignment="1" applyProtection="1">
      <alignment horizontal="center" vertical="center"/>
      <protection hidden="1"/>
    </xf>
    <xf numFmtId="0" fontId="31" fillId="0" borderId="135" xfId="1" applyFont="1" applyFill="1" applyBorder="1" applyAlignment="1" applyProtection="1">
      <alignment vertical="center" wrapText="1" shrinkToFit="1"/>
      <protection hidden="1"/>
    </xf>
    <xf numFmtId="0" fontId="0" fillId="8" borderId="117" xfId="0" applyFill="1" applyBorder="1" applyAlignment="1" applyProtection="1">
      <alignment horizontal="center" vertical="center"/>
      <protection hidden="1"/>
    </xf>
    <xf numFmtId="0" fontId="0" fillId="8" borderId="111" xfId="0" applyFill="1" applyBorder="1" applyAlignment="1" applyProtection="1">
      <alignment horizontal="center" vertical="center"/>
      <protection hidden="1"/>
    </xf>
    <xf numFmtId="0" fontId="0" fillId="8" borderId="114" xfId="0" applyFill="1" applyBorder="1" applyAlignment="1" applyProtection="1">
      <alignment horizontal="center" vertical="center"/>
      <protection hidden="1"/>
    </xf>
    <xf numFmtId="0" fontId="42" fillId="9" borderId="129" xfId="1" applyFont="1" applyFill="1" applyBorder="1" applyAlignment="1" applyProtection="1">
      <alignment horizontal="center" vertical="center" wrapText="1" shrinkToFit="1"/>
      <protection hidden="1"/>
    </xf>
    <xf numFmtId="0" fontId="42" fillId="9" borderId="130" xfId="1" applyFont="1" applyFill="1" applyBorder="1" applyAlignment="1" applyProtection="1">
      <alignment horizontal="center" vertical="center" wrapText="1" shrinkToFit="1"/>
      <protection hidden="1"/>
    </xf>
    <xf numFmtId="0" fontId="42" fillId="9" borderId="131" xfId="1" applyFont="1" applyFill="1" applyBorder="1" applyAlignment="1" applyProtection="1">
      <alignment horizontal="center" vertical="center" wrapText="1" shrinkToFit="1"/>
      <protection hidden="1"/>
    </xf>
    <xf numFmtId="0" fontId="42" fillId="9" borderId="134" xfId="1" applyFont="1" applyFill="1" applyBorder="1" applyAlignment="1" applyProtection="1">
      <alignment horizontal="center" vertical="center" wrapText="1" shrinkToFit="1"/>
      <protection hidden="1"/>
    </xf>
    <xf numFmtId="0" fontId="42" fillId="9" borderId="135" xfId="1" applyFont="1" applyFill="1" applyBorder="1" applyAlignment="1" applyProtection="1">
      <alignment horizontal="center" vertical="center" wrapText="1" shrinkToFit="1"/>
      <protection hidden="1"/>
    </xf>
    <xf numFmtId="0" fontId="42" fillId="9" borderId="136" xfId="1" applyFont="1" applyFill="1" applyBorder="1" applyAlignment="1" applyProtection="1">
      <alignment horizontal="center" vertical="center" wrapText="1" shrinkToFit="1"/>
      <protection hidden="1"/>
    </xf>
    <xf numFmtId="0" fontId="42" fillId="9" borderId="102" xfId="1" applyFont="1" applyFill="1" applyBorder="1" applyAlignment="1" applyProtection="1">
      <alignment horizontal="center" vertical="center" shrinkToFit="1"/>
      <protection hidden="1"/>
    </xf>
    <xf numFmtId="0" fontId="42" fillId="9" borderId="103" xfId="1" applyFont="1" applyFill="1" applyBorder="1" applyAlignment="1" applyProtection="1">
      <alignment horizontal="center" vertical="center" shrinkToFit="1"/>
      <protection hidden="1"/>
    </xf>
    <xf numFmtId="0" fontId="42" fillId="9" borderId="104" xfId="1" applyFont="1" applyFill="1" applyBorder="1" applyAlignment="1" applyProtection="1">
      <alignment horizontal="center" vertical="center" shrinkToFit="1"/>
      <protection hidden="1"/>
    </xf>
    <xf numFmtId="0" fontId="42" fillId="9" borderId="105" xfId="1" applyFont="1" applyFill="1" applyBorder="1" applyAlignment="1" applyProtection="1">
      <alignment horizontal="center" vertical="center" shrinkToFit="1"/>
      <protection hidden="1"/>
    </xf>
    <xf numFmtId="0" fontId="42" fillId="9" borderId="106" xfId="1" applyFont="1" applyFill="1" applyBorder="1" applyAlignment="1" applyProtection="1">
      <alignment horizontal="center" vertical="center" shrinkToFit="1"/>
      <protection hidden="1"/>
    </xf>
    <xf numFmtId="0" fontId="42" fillId="9" borderId="107" xfId="1" applyFont="1" applyFill="1" applyBorder="1" applyAlignment="1" applyProtection="1">
      <alignment horizontal="center" vertical="center" shrinkToFit="1"/>
      <protection hidden="1"/>
    </xf>
    <xf numFmtId="0" fontId="3" fillId="8" borderId="129" xfId="0" applyFont="1" applyFill="1" applyBorder="1" applyAlignment="1" applyProtection="1">
      <alignment horizontal="center" vertical="center" wrapText="1" shrinkToFit="1"/>
      <protection hidden="1"/>
    </xf>
    <xf numFmtId="0" fontId="3" fillId="8" borderId="130" xfId="0" applyFont="1" applyFill="1" applyBorder="1" applyAlignment="1" applyProtection="1">
      <alignment horizontal="center" vertical="center" wrapText="1" shrinkToFit="1"/>
      <protection hidden="1"/>
    </xf>
    <xf numFmtId="0" fontId="3" fillId="8" borderId="131" xfId="0" applyFont="1" applyFill="1" applyBorder="1" applyAlignment="1" applyProtection="1">
      <alignment horizontal="center" vertical="center" wrapText="1" shrinkToFit="1"/>
      <protection hidden="1"/>
    </xf>
    <xf numFmtId="0" fontId="3" fillId="8" borderId="134" xfId="0" applyFont="1" applyFill="1" applyBorder="1" applyAlignment="1" applyProtection="1">
      <alignment horizontal="center" vertical="center" wrapText="1" shrinkToFit="1"/>
      <protection hidden="1"/>
    </xf>
    <xf numFmtId="0" fontId="3" fillId="8" borderId="135" xfId="0" applyFont="1" applyFill="1" applyBorder="1" applyAlignment="1" applyProtection="1">
      <alignment horizontal="center" vertical="center" wrapText="1" shrinkToFit="1"/>
      <protection hidden="1"/>
    </xf>
    <xf numFmtId="0" fontId="3" fillId="8" borderId="136" xfId="0" applyFont="1" applyFill="1" applyBorder="1" applyAlignment="1" applyProtection="1">
      <alignment horizontal="center" vertical="center" wrapText="1" shrinkToFit="1"/>
      <protection hidden="1"/>
    </xf>
    <xf numFmtId="0" fontId="14" fillId="7" borderId="0" xfId="1" applyFont="1" applyFill="1" applyBorder="1" applyAlignment="1" applyProtection="1">
      <alignment horizontal="center" vertical="center" wrapText="1"/>
      <protection hidden="1"/>
    </xf>
    <xf numFmtId="49" fontId="18" fillId="0" borderId="73" xfId="0" applyNumberFormat="1" applyFont="1" applyBorder="1" applyAlignment="1" applyProtection="1">
      <alignment horizontal="left" vertical="center"/>
      <protection hidden="1"/>
    </xf>
    <xf numFmtId="0" fontId="1" fillId="8" borderId="96" xfId="0" applyFont="1" applyFill="1" applyBorder="1" applyAlignment="1" applyProtection="1">
      <alignment horizontal="left" vertical="center" wrapText="1"/>
      <protection hidden="1"/>
    </xf>
    <xf numFmtId="0" fontId="1" fillId="8" borderId="97" xfId="0" applyFont="1" applyFill="1" applyBorder="1" applyAlignment="1" applyProtection="1">
      <alignment horizontal="left" vertical="center" wrapText="1"/>
      <protection hidden="1"/>
    </xf>
    <xf numFmtId="0" fontId="1" fillId="8" borderId="98" xfId="0" applyFont="1" applyFill="1" applyBorder="1" applyAlignment="1" applyProtection="1">
      <alignment horizontal="left" vertical="center" wrapText="1"/>
      <protection hidden="1"/>
    </xf>
    <xf numFmtId="0" fontId="20" fillId="8" borderId="122" xfId="0" applyFont="1" applyFill="1" applyBorder="1" applyAlignment="1">
      <alignment horizontal="center" vertical="center"/>
    </xf>
    <xf numFmtId="0" fontId="20" fillId="8" borderId="87" xfId="0" applyFont="1" applyFill="1" applyBorder="1" applyAlignment="1">
      <alignment horizontal="center" vertical="center"/>
    </xf>
    <xf numFmtId="0" fontId="20" fillId="8" borderId="123" xfId="0" applyFont="1" applyFill="1" applyBorder="1" applyAlignment="1">
      <alignment horizontal="center" vertical="center"/>
    </xf>
    <xf numFmtId="0" fontId="16" fillId="7" borderId="0" xfId="0" applyFont="1" applyFill="1" applyAlignment="1" applyProtection="1">
      <alignment horizontal="center" vertical="center" shrinkToFit="1"/>
      <protection hidden="1"/>
    </xf>
    <xf numFmtId="0" fontId="20" fillId="8" borderId="122" xfId="0" applyFont="1" applyFill="1" applyBorder="1" applyAlignment="1" applyProtection="1">
      <alignment horizontal="center" vertical="center"/>
      <protection hidden="1"/>
    </xf>
    <xf numFmtId="0" fontId="20" fillId="8" borderId="87" xfId="0" applyFont="1" applyFill="1" applyBorder="1" applyAlignment="1" applyProtection="1">
      <alignment horizontal="center" vertical="center"/>
      <protection hidden="1"/>
    </xf>
    <xf numFmtId="0" fontId="20" fillId="8" borderId="88" xfId="0" applyFont="1" applyFill="1" applyBorder="1" applyAlignment="1">
      <alignment horizontal="center" vertical="center"/>
    </xf>
    <xf numFmtId="0" fontId="20" fillId="8" borderId="125" xfId="0" applyFont="1" applyFill="1" applyBorder="1" applyAlignment="1">
      <alignment horizontal="center" vertical="center"/>
    </xf>
    <xf numFmtId="0" fontId="20" fillId="8" borderId="87" xfId="0" applyFont="1" applyFill="1" applyBorder="1" applyAlignment="1">
      <alignment horizontal="center" vertical="center" wrapText="1"/>
    </xf>
    <xf numFmtId="0" fontId="20" fillId="8" borderId="123" xfId="0" applyFont="1" applyFill="1" applyBorder="1" applyAlignment="1">
      <alignment horizontal="center" vertical="center" wrapText="1"/>
    </xf>
    <xf numFmtId="0" fontId="20" fillId="8" borderId="124" xfId="0" applyFont="1" applyFill="1" applyBorder="1" applyAlignment="1" applyProtection="1">
      <alignment horizontal="center" vertical="center"/>
      <protection hidden="1"/>
    </xf>
    <xf numFmtId="0" fontId="20" fillId="8" borderId="89" xfId="0" applyFont="1" applyFill="1" applyBorder="1" applyAlignment="1" applyProtection="1">
      <alignment horizontal="center" vertical="center"/>
      <protection hidden="1"/>
    </xf>
    <xf numFmtId="0" fontId="3" fillId="0" borderId="137" xfId="0" applyFont="1" applyBorder="1" applyAlignment="1" applyProtection="1">
      <alignment horizontal="center" vertical="center"/>
      <protection hidden="1"/>
    </xf>
    <xf numFmtId="0" fontId="3" fillId="0" borderId="138" xfId="0" applyFont="1" applyBorder="1" applyAlignment="1" applyProtection="1">
      <alignment horizontal="center" vertical="center"/>
      <protection hidden="1"/>
    </xf>
    <xf numFmtId="0" fontId="3" fillId="0" borderId="139" xfId="0" applyFont="1" applyBorder="1" applyAlignment="1" applyProtection="1">
      <alignment horizontal="center" vertical="center"/>
      <protection hidden="1"/>
    </xf>
    <xf numFmtId="0" fontId="20" fillId="8" borderId="119" xfId="0" applyFont="1" applyFill="1" applyBorder="1" applyAlignment="1" applyProtection="1">
      <alignment horizontal="center" vertical="center"/>
      <protection hidden="1"/>
    </xf>
    <xf numFmtId="0" fontId="20" fillId="8" borderId="120" xfId="0" applyFont="1" applyFill="1" applyBorder="1" applyAlignment="1" applyProtection="1">
      <alignment horizontal="center" vertical="center"/>
      <protection hidden="1"/>
    </xf>
    <xf numFmtId="0" fontId="20" fillId="8" borderId="120" xfId="0" applyFont="1" applyFill="1" applyBorder="1" applyAlignment="1">
      <alignment horizontal="center" vertical="center"/>
    </xf>
    <xf numFmtId="0" fontId="20" fillId="8" borderId="121" xfId="0" applyFont="1" applyFill="1" applyBorder="1" applyAlignment="1">
      <alignment horizontal="center" vertical="center"/>
    </xf>
    <xf numFmtId="0" fontId="1" fillId="8" borderId="115" xfId="0" applyFont="1" applyFill="1" applyBorder="1" applyAlignment="1" applyProtection="1">
      <alignment horizontal="center" vertical="center"/>
      <protection hidden="1"/>
    </xf>
    <xf numFmtId="0" fontId="1" fillId="8" borderId="116" xfId="0" applyFont="1" applyFill="1" applyBorder="1" applyAlignment="1" applyProtection="1">
      <alignment horizontal="center" vertical="center"/>
      <protection hidden="1"/>
    </xf>
    <xf numFmtId="0" fontId="1" fillId="8" borderId="118" xfId="0" applyFont="1" applyFill="1" applyBorder="1" applyAlignment="1" applyProtection="1">
      <alignment horizontal="center" vertical="center"/>
      <protection hidden="1"/>
    </xf>
    <xf numFmtId="0" fontId="1" fillId="8" borderId="73" xfId="0" applyFont="1" applyFill="1" applyBorder="1" applyAlignment="1" applyProtection="1">
      <alignment horizontal="center" vertical="center"/>
      <protection hidden="1"/>
    </xf>
    <xf numFmtId="0" fontId="3" fillId="8" borderId="99" xfId="0" applyFont="1" applyFill="1" applyBorder="1" applyAlignment="1" applyProtection="1">
      <alignment horizontal="center" vertical="center"/>
      <protection hidden="1"/>
    </xf>
    <xf numFmtId="0" fontId="3" fillId="8" borderId="100" xfId="0" applyFont="1" applyFill="1" applyBorder="1" applyAlignment="1" applyProtection="1">
      <alignment horizontal="center" vertical="center"/>
      <protection hidden="1"/>
    </xf>
    <xf numFmtId="0" fontId="3" fillId="8" borderId="101" xfId="0" applyFont="1" applyFill="1" applyBorder="1" applyAlignment="1" applyProtection="1">
      <alignment horizontal="center" vertical="center"/>
      <protection hidden="1"/>
    </xf>
    <xf numFmtId="0" fontId="1" fillId="8" borderId="58" xfId="0" applyFont="1" applyFill="1" applyBorder="1" applyAlignment="1" applyProtection="1">
      <alignment horizontal="right" vertical="center" shrinkToFit="1"/>
      <protection hidden="1"/>
    </xf>
    <xf numFmtId="0" fontId="0" fillId="8" borderId="56" xfId="0" applyFill="1" applyBorder="1" applyAlignment="1" applyProtection="1">
      <alignment horizontal="right" vertical="center" shrinkToFit="1"/>
      <protection hidden="1"/>
    </xf>
    <xf numFmtId="0" fontId="0" fillId="8" borderId="59" xfId="0" applyFill="1" applyBorder="1" applyAlignment="1" applyProtection="1">
      <alignment horizontal="right" vertical="center" shrinkToFit="1"/>
      <protection hidden="1"/>
    </xf>
    <xf numFmtId="0" fontId="1" fillId="8" borderId="36" xfId="0" applyFont="1" applyFill="1" applyBorder="1" applyAlignment="1" applyProtection="1">
      <alignment horizontal="right" vertical="center" shrinkToFit="1"/>
      <protection hidden="1"/>
    </xf>
    <xf numFmtId="0" fontId="0" fillId="8" borderId="34" xfId="0" applyFill="1" applyBorder="1" applyAlignment="1" applyProtection="1">
      <alignment horizontal="right" vertical="center" shrinkToFit="1"/>
      <protection hidden="1"/>
    </xf>
    <xf numFmtId="0" fontId="0" fillId="8" borderId="42" xfId="0" applyFill="1" applyBorder="1" applyAlignment="1" applyProtection="1">
      <alignment horizontal="right" vertical="center" shrinkToFit="1"/>
      <protection hidden="1"/>
    </xf>
    <xf numFmtId="0" fontId="3" fillId="0" borderId="55"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10" fillId="0" borderId="149" xfId="0" applyFont="1" applyBorder="1" applyAlignment="1" applyProtection="1">
      <alignment horizontal="center" vertical="center" shrinkToFit="1"/>
      <protection hidden="1"/>
    </xf>
    <xf numFmtId="0" fontId="10" fillId="0" borderId="55" xfId="0" applyFont="1" applyBorder="1" applyAlignment="1" applyProtection="1">
      <alignment horizontal="center" vertical="center" shrinkToFit="1"/>
      <protection hidden="1"/>
    </xf>
    <xf numFmtId="0" fontId="10" fillId="0" borderId="150" xfId="0" applyFont="1" applyBorder="1" applyAlignment="1" applyProtection="1">
      <alignment horizontal="center" vertical="center" shrinkToFit="1"/>
      <protection hidden="1"/>
    </xf>
    <xf numFmtId="0" fontId="10" fillId="0" borderId="151" xfId="0" applyFont="1" applyBorder="1" applyAlignment="1" applyProtection="1">
      <alignment horizontal="center" vertical="center" shrinkToFit="1"/>
      <protection hidden="1"/>
    </xf>
    <xf numFmtId="0" fontId="10" fillId="0" borderId="152" xfId="0" applyFont="1" applyBorder="1" applyAlignment="1" applyProtection="1">
      <alignment horizontal="center" vertical="center" shrinkToFit="1"/>
      <protection hidden="1"/>
    </xf>
    <xf numFmtId="0" fontId="10" fillId="0" borderId="153" xfId="0" applyFont="1" applyBorder="1" applyAlignment="1" applyProtection="1">
      <alignment horizontal="center" vertical="center" shrinkToFit="1"/>
      <protection hidden="1"/>
    </xf>
    <xf numFmtId="0" fontId="12" fillId="5" borderId="60" xfId="0" applyFont="1" applyFill="1" applyBorder="1" applyAlignment="1" applyProtection="1">
      <alignment horizontal="center" vertical="center"/>
      <protection hidden="1"/>
    </xf>
    <xf numFmtId="0" fontId="12" fillId="5" borderId="61" xfId="0" applyFont="1" applyFill="1" applyBorder="1" applyAlignment="1" applyProtection="1">
      <alignment horizontal="center" vertical="center"/>
      <protection hidden="1"/>
    </xf>
    <xf numFmtId="0" fontId="12" fillId="5" borderId="62" xfId="0" applyFont="1" applyFill="1" applyBorder="1" applyAlignment="1" applyProtection="1">
      <alignment horizontal="center" vertical="center"/>
      <protection hidden="1"/>
    </xf>
    <xf numFmtId="0" fontId="12" fillId="5" borderId="63" xfId="0" applyFont="1" applyFill="1" applyBorder="1" applyAlignment="1" applyProtection="1">
      <alignment horizontal="center" vertical="center"/>
      <protection hidden="1"/>
    </xf>
    <xf numFmtId="0" fontId="12" fillId="5" borderId="64" xfId="0" applyFont="1" applyFill="1" applyBorder="1" applyAlignment="1" applyProtection="1">
      <alignment horizontal="center" vertical="center"/>
      <protection hidden="1"/>
    </xf>
    <xf numFmtId="0" fontId="12" fillId="5" borderId="65" xfId="0" applyFont="1" applyFill="1" applyBorder="1" applyAlignment="1" applyProtection="1">
      <alignment horizontal="center" vertical="center"/>
      <protection hidden="1"/>
    </xf>
    <xf numFmtId="0" fontId="13" fillId="7" borderId="0" xfId="1" applyFont="1" applyFill="1" applyBorder="1" applyAlignment="1" applyProtection="1">
      <alignment horizontal="center" vertical="center"/>
      <protection hidden="1"/>
    </xf>
    <xf numFmtId="0" fontId="1" fillId="8" borderId="40" xfId="0" applyFont="1" applyFill="1" applyBorder="1" applyAlignment="1" applyProtection="1">
      <alignment horizontal="right" vertical="center" shrinkToFit="1"/>
      <protection hidden="1"/>
    </xf>
    <xf numFmtId="0" fontId="0" fillId="8" borderId="38" xfId="0" applyFill="1" applyBorder="1" applyAlignment="1" applyProtection="1">
      <alignment horizontal="right" vertical="center" shrinkToFit="1"/>
      <protection hidden="1"/>
    </xf>
    <xf numFmtId="0" fontId="0" fillId="8" borderId="43" xfId="0" applyFill="1" applyBorder="1" applyAlignment="1" applyProtection="1">
      <alignment horizontal="right" vertical="center" shrinkToFit="1"/>
      <protection hidden="1"/>
    </xf>
    <xf numFmtId="0" fontId="13" fillId="7" borderId="0" xfId="0" applyFont="1" applyFill="1" applyBorder="1" applyAlignment="1" applyProtection="1">
      <alignment horizontal="center" vertical="center"/>
      <protection hidden="1"/>
    </xf>
    <xf numFmtId="0" fontId="11" fillId="6" borderId="71" xfId="0" applyFont="1" applyFill="1" applyBorder="1" applyAlignment="1" applyProtection="1">
      <alignment horizontal="center" vertical="center"/>
      <protection locked="0"/>
    </xf>
    <xf numFmtId="0" fontId="11" fillId="6" borderId="72"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hidden="1"/>
    </xf>
    <xf numFmtId="0" fontId="1" fillId="8" borderId="112" xfId="0" applyFont="1" applyFill="1" applyBorder="1" applyAlignment="1" applyProtection="1">
      <alignment horizontal="center" vertical="center"/>
      <protection hidden="1"/>
    </xf>
    <xf numFmtId="0" fontId="1" fillId="8" borderId="113" xfId="0" applyFont="1" applyFill="1" applyBorder="1" applyAlignment="1" applyProtection="1">
      <alignment horizontal="center" vertical="center"/>
      <protection hidden="1"/>
    </xf>
    <xf numFmtId="0" fontId="8" fillId="8" borderId="74" xfId="0" applyFont="1" applyFill="1" applyBorder="1" applyAlignment="1" applyProtection="1">
      <alignment horizontal="center" vertical="center" shrinkToFit="1"/>
      <protection hidden="1"/>
    </xf>
    <xf numFmtId="0" fontId="8" fillId="8" borderId="76" xfId="0" applyFont="1" applyFill="1" applyBorder="1" applyAlignment="1" applyProtection="1">
      <alignment horizontal="center" vertical="center" shrinkToFit="1"/>
      <protection hidden="1"/>
    </xf>
    <xf numFmtId="0" fontId="8" fillId="8" borderId="75" xfId="0" applyFont="1" applyFill="1" applyBorder="1" applyAlignment="1" applyProtection="1">
      <alignment horizontal="center" vertical="center" shrinkToFit="1"/>
      <protection hidden="1"/>
    </xf>
    <xf numFmtId="0" fontId="37" fillId="7" borderId="60" xfId="1" applyFont="1" applyFill="1" applyBorder="1" applyAlignment="1" applyProtection="1">
      <alignment horizontal="center" vertical="center"/>
      <protection hidden="1"/>
    </xf>
    <xf numFmtId="0" fontId="37" fillId="7" borderId="61" xfId="1" applyFont="1" applyFill="1" applyBorder="1" applyAlignment="1" applyProtection="1">
      <alignment horizontal="center" vertical="center"/>
      <protection hidden="1"/>
    </xf>
    <xf numFmtId="0" fontId="37" fillId="7" borderId="62" xfId="1" applyFont="1" applyFill="1" applyBorder="1" applyAlignment="1" applyProtection="1">
      <alignment horizontal="center" vertical="center"/>
      <protection hidden="1"/>
    </xf>
    <xf numFmtId="0" fontId="37" fillId="7" borderId="63" xfId="1" applyFont="1" applyFill="1" applyBorder="1" applyAlignment="1" applyProtection="1">
      <alignment horizontal="center" vertical="center"/>
      <protection hidden="1"/>
    </xf>
    <xf numFmtId="0" fontId="37" fillId="7" borderId="64" xfId="1" applyFont="1" applyFill="1" applyBorder="1" applyAlignment="1" applyProtection="1">
      <alignment horizontal="center" vertical="center"/>
      <protection hidden="1"/>
    </xf>
    <xf numFmtId="0" fontId="37" fillId="7" borderId="65" xfId="1" applyFont="1" applyFill="1" applyBorder="1" applyAlignment="1" applyProtection="1">
      <alignment horizontal="center" vertical="center"/>
      <protection hidden="1"/>
    </xf>
    <xf numFmtId="0" fontId="15" fillId="7" borderId="0" xfId="0" applyFont="1" applyFill="1" applyAlignment="1" applyProtection="1">
      <alignment horizontal="center" vertical="center" shrinkToFit="1"/>
      <protection hidden="1"/>
    </xf>
    <xf numFmtId="0" fontId="32" fillId="0" borderId="73" xfId="0" applyFont="1" applyBorder="1" applyAlignment="1" applyProtection="1">
      <alignment horizontal="right" vertical="center"/>
      <protection hidden="1"/>
    </xf>
    <xf numFmtId="0" fontId="21" fillId="8" borderId="87" xfId="0" applyFont="1" applyFill="1" applyBorder="1" applyAlignment="1">
      <alignment horizontal="center" vertical="center"/>
    </xf>
    <xf numFmtId="0" fontId="21" fillId="8" borderId="123" xfId="0" applyFont="1" applyFill="1" applyBorder="1" applyAlignment="1">
      <alignment horizontal="center" vertical="center"/>
    </xf>
    <xf numFmtId="0" fontId="20" fillId="8" borderId="126" xfId="0" applyFont="1" applyFill="1" applyBorder="1" applyAlignment="1">
      <alignment horizontal="center" vertical="center"/>
    </xf>
    <xf numFmtId="0" fontId="20" fillId="8" borderId="127" xfId="0" applyFont="1" applyFill="1" applyBorder="1" applyAlignment="1">
      <alignment horizontal="center" vertical="center"/>
    </xf>
    <xf numFmtId="0" fontId="21" fillId="8" borderId="127" xfId="0" applyFont="1" applyFill="1" applyBorder="1" applyAlignment="1">
      <alignment horizontal="center" vertical="center"/>
    </xf>
    <xf numFmtId="0" fontId="21" fillId="8" borderId="128" xfId="0" applyFont="1" applyFill="1" applyBorder="1" applyAlignment="1">
      <alignment horizontal="center" vertical="center"/>
    </xf>
    <xf numFmtId="0" fontId="28" fillId="8" borderId="129" xfId="0" applyFont="1" applyFill="1" applyBorder="1" applyAlignment="1" applyProtection="1">
      <alignment horizontal="left" vertical="center" wrapText="1"/>
      <protection hidden="1"/>
    </xf>
    <xf numFmtId="0" fontId="28" fillId="8" borderId="130" xfId="0" applyFont="1" applyFill="1" applyBorder="1" applyAlignment="1" applyProtection="1">
      <alignment horizontal="left" vertical="center" wrapText="1"/>
      <protection hidden="1"/>
    </xf>
    <xf numFmtId="0" fontId="28" fillId="8" borderId="131" xfId="0" applyFont="1" applyFill="1" applyBorder="1" applyAlignment="1" applyProtection="1">
      <alignment horizontal="left" vertical="center" wrapText="1"/>
      <protection hidden="1"/>
    </xf>
    <xf numFmtId="0" fontId="28" fillId="8" borderId="132" xfId="0" applyFont="1" applyFill="1" applyBorder="1" applyAlignment="1" applyProtection="1">
      <alignment horizontal="left" vertical="center" wrapText="1"/>
      <protection hidden="1"/>
    </xf>
    <xf numFmtId="0" fontId="28" fillId="8" borderId="0" xfId="0" applyFont="1" applyFill="1" applyBorder="1" applyAlignment="1" applyProtection="1">
      <alignment horizontal="left" vertical="center" wrapText="1"/>
      <protection hidden="1"/>
    </xf>
    <xf numFmtId="0" fontId="28" fillId="8" borderId="133" xfId="0" applyFont="1" applyFill="1" applyBorder="1" applyAlignment="1" applyProtection="1">
      <alignment horizontal="left" vertical="center" wrapText="1"/>
      <protection hidden="1"/>
    </xf>
    <xf numFmtId="0" fontId="28" fillId="8" borderId="134" xfId="0" applyFont="1" applyFill="1" applyBorder="1" applyAlignment="1" applyProtection="1">
      <alignment horizontal="left" vertical="center" wrapText="1"/>
      <protection hidden="1"/>
    </xf>
    <xf numFmtId="0" fontId="28" fillId="8" borderId="135" xfId="0" applyFont="1" applyFill="1" applyBorder="1" applyAlignment="1" applyProtection="1">
      <alignment horizontal="left" vertical="center" wrapText="1"/>
      <protection hidden="1"/>
    </xf>
    <xf numFmtId="0" fontId="28" fillId="8" borderId="136" xfId="0" applyFont="1" applyFill="1" applyBorder="1" applyAlignment="1" applyProtection="1">
      <alignment horizontal="left" vertical="center" wrapText="1"/>
      <protection hidden="1"/>
    </xf>
    <xf numFmtId="0" fontId="11" fillId="0" borderId="143" xfId="0" applyFont="1" applyBorder="1" applyAlignment="1" applyProtection="1">
      <alignment horizontal="center" vertical="center" wrapText="1" shrinkToFit="1"/>
      <protection hidden="1"/>
    </xf>
    <xf numFmtId="0" fontId="11" fillId="0" borderId="144" xfId="0" applyFont="1" applyBorder="1" applyAlignment="1" applyProtection="1">
      <alignment horizontal="center" vertical="center" wrapText="1" shrinkToFit="1"/>
      <protection hidden="1"/>
    </xf>
    <xf numFmtId="0" fontId="39" fillId="8" borderId="129" xfId="0" applyFont="1" applyFill="1" applyBorder="1" applyAlignment="1" applyProtection="1">
      <alignment horizontal="center" vertical="center" shrinkToFit="1"/>
      <protection hidden="1"/>
    </xf>
    <xf numFmtId="0" fontId="39" fillId="8" borderId="130" xfId="0" applyFont="1" applyFill="1" applyBorder="1" applyAlignment="1" applyProtection="1">
      <alignment horizontal="center" vertical="center" shrinkToFit="1"/>
      <protection hidden="1"/>
    </xf>
    <xf numFmtId="0" fontId="39" fillId="8" borderId="131" xfId="0" applyFont="1" applyFill="1" applyBorder="1" applyAlignment="1" applyProtection="1">
      <alignment horizontal="center" vertical="center" shrinkToFit="1"/>
      <protection hidden="1"/>
    </xf>
    <xf numFmtId="0" fontId="39" fillId="8" borderId="134" xfId="0" applyFont="1" applyFill="1" applyBorder="1" applyAlignment="1" applyProtection="1">
      <alignment horizontal="center" vertical="center" shrinkToFit="1"/>
      <protection hidden="1"/>
    </xf>
    <xf numFmtId="0" fontId="39" fillId="8" borderId="135" xfId="0" applyFont="1" applyFill="1" applyBorder="1" applyAlignment="1" applyProtection="1">
      <alignment horizontal="center" vertical="center" shrinkToFit="1"/>
      <protection hidden="1"/>
    </xf>
    <xf numFmtId="0" fontId="39" fillId="8" borderId="136" xfId="0" applyFont="1" applyFill="1" applyBorder="1" applyAlignment="1" applyProtection="1">
      <alignment horizontal="center" vertical="center" shrinkToFit="1"/>
      <protection hidden="1"/>
    </xf>
    <xf numFmtId="0" fontId="43" fillId="7" borderId="154" xfId="1" applyFont="1" applyFill="1" applyBorder="1" applyAlignment="1" applyProtection="1">
      <alignment horizontal="right" vertical="center" wrapText="1"/>
      <protection hidden="1"/>
    </xf>
    <xf numFmtId="0" fontId="43" fillId="7" borderId="155" xfId="1" applyFont="1" applyFill="1" applyBorder="1" applyAlignment="1" applyProtection="1">
      <alignment horizontal="right" vertical="center" wrapText="1"/>
      <protection hidden="1"/>
    </xf>
    <xf numFmtId="0" fontId="43" fillId="7" borderId="156" xfId="1" applyFont="1" applyFill="1" applyBorder="1" applyAlignment="1" applyProtection="1">
      <alignment horizontal="right" vertical="center" wrapText="1"/>
      <protection hidden="1"/>
    </xf>
    <xf numFmtId="0" fontId="43" fillId="7" borderId="90" xfId="1" applyFont="1" applyFill="1" applyBorder="1" applyAlignment="1" applyProtection="1">
      <alignment horizontal="right" vertical="center" wrapText="1"/>
      <protection hidden="1"/>
    </xf>
    <xf numFmtId="0" fontId="43" fillId="7" borderId="0" xfId="1" applyFont="1" applyFill="1" applyBorder="1" applyAlignment="1" applyProtection="1">
      <alignment horizontal="right" vertical="center" wrapText="1"/>
      <protection hidden="1"/>
    </xf>
    <xf numFmtId="0" fontId="43" fillId="7" borderId="157" xfId="1" applyFont="1" applyFill="1" applyBorder="1" applyAlignment="1" applyProtection="1">
      <alignment horizontal="right" vertical="center" wrapText="1"/>
      <protection hidden="1"/>
    </xf>
    <xf numFmtId="0" fontId="43" fillId="7" borderId="158" xfId="1" applyFont="1" applyFill="1" applyBorder="1" applyAlignment="1" applyProtection="1">
      <alignment horizontal="right" vertical="center" wrapText="1"/>
      <protection hidden="1"/>
    </xf>
    <xf numFmtId="0" fontId="43" fillId="7" borderId="148" xfId="1" applyFont="1" applyFill="1" applyBorder="1" applyAlignment="1" applyProtection="1">
      <alignment horizontal="right" vertical="center" wrapText="1"/>
      <protection hidden="1"/>
    </xf>
    <xf numFmtId="0" fontId="43" fillId="7" borderId="159" xfId="1" applyFont="1" applyFill="1" applyBorder="1" applyAlignment="1" applyProtection="1">
      <alignment horizontal="right" vertical="center" wrapText="1"/>
      <protection hidden="1"/>
    </xf>
    <xf numFmtId="0" fontId="43" fillId="7" borderId="154" xfId="1" applyFont="1" applyFill="1" applyBorder="1" applyAlignment="1" applyProtection="1">
      <alignment horizontal="center" vertical="center" shrinkToFit="1"/>
      <protection hidden="1"/>
    </xf>
    <xf numFmtId="0" fontId="43" fillId="7" borderId="155" xfId="1" applyFont="1" applyFill="1" applyBorder="1" applyAlignment="1" applyProtection="1">
      <alignment horizontal="center" vertical="center" shrinkToFit="1"/>
      <protection hidden="1"/>
    </xf>
    <xf numFmtId="0" fontId="43" fillId="7" borderId="156" xfId="1" applyFont="1" applyFill="1" applyBorder="1" applyAlignment="1" applyProtection="1">
      <alignment horizontal="center" vertical="center" shrinkToFit="1"/>
      <protection hidden="1"/>
    </xf>
    <xf numFmtId="0" fontId="43" fillId="7" borderId="90" xfId="1" applyFont="1" applyFill="1" applyBorder="1" applyAlignment="1" applyProtection="1">
      <alignment horizontal="center" vertical="center" shrinkToFit="1"/>
      <protection hidden="1"/>
    </xf>
    <xf numFmtId="0" fontId="43" fillId="7" borderId="0" xfId="1" applyFont="1" applyFill="1" applyBorder="1" applyAlignment="1" applyProtection="1">
      <alignment horizontal="center" vertical="center" shrinkToFit="1"/>
      <protection hidden="1"/>
    </xf>
    <xf numFmtId="0" fontId="43" fillId="7" borderId="157" xfId="1" applyFont="1" applyFill="1" applyBorder="1" applyAlignment="1" applyProtection="1">
      <alignment horizontal="center" vertical="center" shrinkToFit="1"/>
      <protection hidden="1"/>
    </xf>
    <xf numFmtId="0" fontId="43" fillId="7" borderId="158" xfId="1" applyFont="1" applyFill="1" applyBorder="1" applyAlignment="1" applyProtection="1">
      <alignment horizontal="center" vertical="center" shrinkToFit="1"/>
      <protection hidden="1"/>
    </xf>
    <xf numFmtId="0" fontId="43" fillId="7" borderId="148" xfId="1" applyFont="1" applyFill="1" applyBorder="1" applyAlignment="1" applyProtection="1">
      <alignment horizontal="center" vertical="center" shrinkToFit="1"/>
      <protection hidden="1"/>
    </xf>
    <xf numFmtId="0" fontId="43" fillId="7" borderId="159" xfId="1" applyFont="1" applyFill="1" applyBorder="1" applyAlignment="1" applyProtection="1">
      <alignment horizontal="center" vertical="center" shrinkToFit="1"/>
      <protection hidden="1"/>
    </xf>
    <xf numFmtId="0" fontId="17" fillId="0" borderId="129" xfId="0" applyFont="1" applyBorder="1" applyAlignment="1" applyProtection="1">
      <alignment horizontal="center" vertical="center" wrapText="1" shrinkToFit="1"/>
      <protection hidden="1"/>
    </xf>
    <xf numFmtId="0" fontId="17" fillId="0" borderId="130" xfId="0" applyFont="1" applyBorder="1" applyAlignment="1" applyProtection="1">
      <alignment horizontal="center" vertical="center" wrapText="1" shrinkToFit="1"/>
      <protection hidden="1"/>
    </xf>
    <xf numFmtId="0" fontId="17" fillId="0" borderId="131" xfId="0" applyFont="1" applyBorder="1" applyAlignment="1" applyProtection="1">
      <alignment horizontal="center" vertical="center" wrapText="1" shrinkToFit="1"/>
      <protection hidden="1"/>
    </xf>
    <xf numFmtId="0" fontId="17" fillId="0" borderId="132" xfId="0" applyFont="1" applyBorder="1" applyAlignment="1" applyProtection="1">
      <alignment horizontal="center" vertical="center" wrapText="1" shrinkToFit="1"/>
      <protection hidden="1"/>
    </xf>
    <xf numFmtId="0" fontId="17" fillId="0" borderId="0" xfId="0" applyFont="1" applyBorder="1" applyAlignment="1" applyProtection="1">
      <alignment horizontal="center" vertical="center" wrapText="1" shrinkToFit="1"/>
      <protection hidden="1"/>
    </xf>
    <xf numFmtId="0" fontId="17" fillId="0" borderId="133" xfId="0" applyFont="1" applyBorder="1" applyAlignment="1" applyProtection="1">
      <alignment horizontal="center" vertical="center" wrapText="1" shrinkToFit="1"/>
      <protection hidden="1"/>
    </xf>
    <xf numFmtId="0" fontId="17" fillId="0" borderId="134" xfId="0" applyFont="1" applyBorder="1" applyAlignment="1" applyProtection="1">
      <alignment horizontal="center" vertical="center" wrapText="1" shrinkToFit="1"/>
      <protection hidden="1"/>
    </xf>
    <xf numFmtId="0" fontId="17" fillId="0" borderId="135" xfId="0" applyFont="1" applyBorder="1" applyAlignment="1" applyProtection="1">
      <alignment horizontal="center" vertical="center" wrapText="1" shrinkToFit="1"/>
      <protection hidden="1"/>
    </xf>
    <xf numFmtId="0" fontId="17" fillId="0" borderId="136" xfId="0" applyFont="1" applyBorder="1" applyAlignment="1" applyProtection="1">
      <alignment horizontal="center" vertical="center" wrapText="1" shrinkToFit="1"/>
      <protection hidden="1"/>
    </xf>
    <xf numFmtId="0" fontId="11" fillId="8" borderId="85" xfId="0" applyFont="1" applyFill="1" applyBorder="1" applyAlignment="1" applyProtection="1">
      <alignment horizontal="center" vertical="center" shrinkToFit="1"/>
      <protection hidden="1"/>
    </xf>
    <xf numFmtId="0" fontId="11" fillId="8" borderId="86" xfId="0" applyFont="1" applyFill="1" applyBorder="1" applyAlignment="1" applyProtection="1">
      <alignment horizontal="center" vertical="center" shrinkToFit="1"/>
      <protection hidden="1"/>
    </xf>
    <xf numFmtId="0" fontId="39" fillId="0" borderId="143" xfId="0" applyFont="1" applyBorder="1" applyAlignment="1" applyProtection="1">
      <alignment horizontal="center" vertical="center" wrapText="1" shrinkToFit="1"/>
      <protection hidden="1"/>
    </xf>
    <xf numFmtId="0" fontId="39" fillId="0" borderId="147" xfId="0" applyFont="1" applyBorder="1" applyAlignment="1" applyProtection="1">
      <alignment horizontal="center" vertical="center" wrapText="1" shrinkToFit="1"/>
      <protection hidden="1"/>
    </xf>
    <xf numFmtId="0" fontId="39" fillId="0" borderId="144" xfId="0" applyFont="1" applyBorder="1" applyAlignment="1" applyProtection="1">
      <alignment horizontal="center" vertical="center" wrapText="1" shrinkToFit="1"/>
      <protection hidden="1"/>
    </xf>
    <xf numFmtId="0" fontId="1" fillId="0" borderId="74" xfId="0" applyFont="1" applyBorder="1" applyAlignment="1" applyProtection="1">
      <alignment horizontal="center" vertical="center"/>
      <protection hidden="1"/>
    </xf>
    <xf numFmtId="0" fontId="1" fillId="0" borderId="76" xfId="0" applyFont="1" applyBorder="1" applyAlignment="1" applyProtection="1">
      <alignment horizontal="center" vertical="center"/>
      <protection hidden="1"/>
    </xf>
    <xf numFmtId="0" fontId="1" fillId="0" borderId="75" xfId="0" applyFont="1" applyBorder="1" applyAlignment="1" applyProtection="1">
      <alignment horizontal="center" vertical="center"/>
      <protection hidden="1"/>
    </xf>
    <xf numFmtId="0" fontId="1" fillId="0" borderId="95" xfId="0" applyFont="1" applyBorder="1" applyAlignment="1" applyProtection="1">
      <alignment horizontal="center" vertical="center"/>
      <protection hidden="1"/>
    </xf>
    <xf numFmtId="0" fontId="0" fillId="0" borderId="95" xfId="0" applyBorder="1" applyAlignment="1" applyProtection="1">
      <alignment horizontal="center" vertical="center"/>
      <protection hidden="1"/>
    </xf>
    <xf numFmtId="0" fontId="38" fillId="0" borderId="140" xfId="0" applyFont="1" applyBorder="1" applyAlignment="1" applyProtection="1">
      <alignment horizontal="center" vertical="center"/>
      <protection hidden="1"/>
    </xf>
    <xf numFmtId="0" fontId="0" fillId="0" borderId="141" xfId="0" applyBorder="1" applyAlignment="1" applyProtection="1">
      <alignment horizontal="center" vertical="center"/>
      <protection hidden="1"/>
    </xf>
    <xf numFmtId="0" fontId="0" fillId="0" borderId="142" xfId="0" applyBorder="1" applyAlignment="1" applyProtection="1">
      <alignment horizontal="center" vertical="center"/>
      <protection hidden="1"/>
    </xf>
    <xf numFmtId="0" fontId="19" fillId="0" borderId="143" xfId="0" applyFont="1" applyBorder="1" applyAlignment="1" applyProtection="1">
      <alignment horizontal="center" vertical="center" wrapText="1"/>
      <protection hidden="1"/>
    </xf>
    <xf numFmtId="0" fontId="19" fillId="0" borderId="144" xfId="0" applyFont="1" applyBorder="1" applyAlignment="1" applyProtection="1">
      <alignment horizontal="center" vertical="center" wrapText="1"/>
      <protection hidden="1"/>
    </xf>
    <xf numFmtId="0" fontId="0" fillId="0" borderId="145" xfId="0" applyBorder="1" applyAlignment="1" applyProtection="1">
      <alignment horizontal="center" vertical="center"/>
      <protection hidden="1"/>
    </xf>
    <xf numFmtId="0" fontId="0" fillId="0" borderId="146" xfId="0" applyBorder="1" applyAlignment="1" applyProtection="1">
      <alignment horizontal="center" vertical="center"/>
      <protection hidden="1"/>
    </xf>
    <xf numFmtId="0" fontId="12" fillId="5" borderId="93" xfId="0" applyFont="1" applyFill="1" applyBorder="1" applyAlignment="1" applyProtection="1">
      <alignment horizontal="center" vertical="center"/>
      <protection hidden="1"/>
    </xf>
    <xf numFmtId="0" fontId="12" fillId="5" borderId="77" xfId="0" applyFont="1" applyFill="1" applyBorder="1" applyAlignment="1" applyProtection="1">
      <alignment horizontal="center" vertical="center"/>
      <protection hidden="1"/>
    </xf>
    <xf numFmtId="0" fontId="12" fillId="5" borderId="94" xfId="0" applyFont="1" applyFill="1" applyBorder="1" applyAlignment="1" applyProtection="1">
      <alignment horizontal="center" vertical="center"/>
      <protection hidden="1"/>
    </xf>
    <xf numFmtId="0" fontId="12" fillId="5" borderId="91"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0" fontId="12" fillId="5" borderId="92" xfId="0" applyFont="1" applyFill="1" applyBorder="1" applyAlignment="1" applyProtection="1">
      <alignment horizontal="center" vertical="center"/>
      <protection hidden="1"/>
    </xf>
    <xf numFmtId="0" fontId="3" fillId="0" borderId="108" xfId="0" applyFont="1" applyBorder="1" applyAlignment="1" applyProtection="1">
      <alignment horizontal="center" vertical="center"/>
      <protection hidden="1"/>
    </xf>
    <xf numFmtId="0" fontId="3" fillId="0" borderId="109" xfId="0" applyFont="1" applyBorder="1" applyAlignment="1" applyProtection="1">
      <alignment horizontal="center" vertical="center"/>
      <protection hidden="1"/>
    </xf>
    <xf numFmtId="0" fontId="3" fillId="0" borderId="110" xfId="0" applyFont="1" applyBorder="1" applyAlignment="1" applyProtection="1">
      <alignment horizontal="center" vertical="center"/>
      <protection hidden="1"/>
    </xf>
    <xf numFmtId="0" fontId="8" fillId="0" borderId="0" xfId="0" applyFont="1" applyFill="1" applyAlignment="1" applyProtection="1">
      <alignment horizontal="center" vertical="center" shrinkToFit="1"/>
      <protection hidden="1"/>
    </xf>
    <xf numFmtId="0" fontId="31" fillId="7" borderId="60" xfId="1" applyFont="1" applyFill="1" applyBorder="1" applyAlignment="1" applyProtection="1">
      <alignment horizontal="center" vertical="center"/>
      <protection hidden="1"/>
    </xf>
    <xf numFmtId="0" fontId="31" fillId="7" borderId="61" xfId="1" applyFont="1" applyFill="1" applyBorder="1" applyAlignment="1" applyProtection="1">
      <alignment horizontal="center" vertical="center"/>
      <protection hidden="1"/>
    </xf>
    <xf numFmtId="0" fontId="31" fillId="7" borderId="62" xfId="1" applyFont="1" applyFill="1" applyBorder="1" applyAlignment="1" applyProtection="1">
      <alignment horizontal="center" vertical="center"/>
      <protection hidden="1"/>
    </xf>
    <xf numFmtId="0" fontId="31" fillId="7" borderId="63" xfId="1" applyFont="1" applyFill="1" applyBorder="1" applyAlignment="1" applyProtection="1">
      <alignment horizontal="center" vertical="center"/>
      <protection hidden="1"/>
    </xf>
    <xf numFmtId="0" fontId="31" fillId="7" borderId="64" xfId="1" applyFont="1" applyFill="1" applyBorder="1" applyAlignment="1" applyProtection="1">
      <alignment horizontal="center" vertical="center"/>
      <protection hidden="1"/>
    </xf>
    <xf numFmtId="0" fontId="31" fillId="7" borderId="65" xfId="1" applyFont="1" applyFill="1" applyBorder="1" applyAlignment="1" applyProtection="1">
      <alignment horizontal="center" vertical="center"/>
      <protection hidden="1"/>
    </xf>
    <xf numFmtId="0" fontId="12" fillId="5" borderId="78" xfId="0" applyFont="1" applyFill="1" applyBorder="1" applyAlignment="1" applyProtection="1">
      <alignment horizontal="center" vertical="center"/>
      <protection hidden="1"/>
    </xf>
    <xf numFmtId="0" fontId="12" fillId="5" borderId="79" xfId="0" applyFont="1" applyFill="1" applyBorder="1" applyAlignment="1" applyProtection="1">
      <alignment horizontal="center" vertical="center"/>
      <protection hidden="1"/>
    </xf>
    <xf numFmtId="0" fontId="12" fillId="5" borderId="81" xfId="0" applyFont="1" applyFill="1" applyBorder="1" applyAlignment="1" applyProtection="1">
      <alignment horizontal="center" vertical="center"/>
      <protection hidden="1"/>
    </xf>
    <xf numFmtId="0" fontId="12" fillId="5" borderId="82" xfId="0" applyFont="1" applyFill="1" applyBorder="1" applyAlignment="1" applyProtection="1">
      <alignment horizontal="center" vertical="center"/>
      <protection hidden="1"/>
    </xf>
    <xf numFmtId="0" fontId="23" fillId="5" borderId="79" xfId="0" applyFont="1" applyFill="1" applyBorder="1" applyAlignment="1" applyProtection="1">
      <alignment horizontal="center" vertical="center" wrapText="1"/>
      <protection hidden="1"/>
    </xf>
    <xf numFmtId="0" fontId="23" fillId="5" borderId="80" xfId="0" applyFont="1" applyFill="1" applyBorder="1" applyAlignment="1" applyProtection="1">
      <alignment horizontal="center" vertical="center" wrapText="1"/>
      <protection hidden="1"/>
    </xf>
    <xf numFmtId="0" fontId="23" fillId="5" borderId="83" xfId="0" applyFont="1" applyFill="1" applyBorder="1" applyAlignment="1" applyProtection="1">
      <alignment horizontal="center" vertical="center" wrapText="1"/>
      <protection hidden="1"/>
    </xf>
    <xf numFmtId="0" fontId="23" fillId="5" borderId="84" xfId="0" applyFont="1" applyFill="1" applyBorder="1" applyAlignment="1" applyProtection="1">
      <alignment horizontal="center" vertical="center" wrapText="1"/>
      <protection hidden="1"/>
    </xf>
    <xf numFmtId="0" fontId="17" fillId="0" borderId="87" xfId="0" applyFont="1" applyBorder="1" applyAlignment="1" applyProtection="1">
      <alignment horizontal="center" vertical="center" wrapText="1"/>
      <protection hidden="1"/>
    </xf>
    <xf numFmtId="0" fontId="7" fillId="0" borderId="88" xfId="0" applyFont="1" applyBorder="1" applyAlignment="1" applyProtection="1">
      <alignment horizontal="center" vertical="center" wrapText="1"/>
      <protection hidden="1"/>
    </xf>
    <xf numFmtId="0" fontId="7" fillId="0" borderId="89" xfId="0" applyFont="1" applyBorder="1" applyAlignment="1" applyProtection="1">
      <alignment horizontal="center" vertical="center" wrapText="1"/>
      <protection hidden="1"/>
    </xf>
    <xf numFmtId="0" fontId="25" fillId="9" borderId="87" xfId="0" applyFont="1" applyFill="1" applyBorder="1" applyAlignment="1" applyProtection="1">
      <alignment horizontal="center" vertical="center" wrapText="1"/>
      <protection hidden="1"/>
    </xf>
    <xf numFmtId="0" fontId="27" fillId="0" borderId="74" xfId="0" applyFont="1" applyBorder="1" applyAlignment="1" applyProtection="1">
      <alignment horizontal="center" vertical="center" wrapText="1"/>
      <protection hidden="1"/>
    </xf>
    <xf numFmtId="0" fontId="27" fillId="0" borderId="76" xfId="0" applyFont="1" applyBorder="1" applyAlignment="1" applyProtection="1">
      <alignment horizontal="center" vertical="center" wrapText="1"/>
      <protection hidden="1"/>
    </xf>
    <xf numFmtId="0" fontId="27" fillId="0" borderId="75" xfId="0" applyFont="1" applyBorder="1" applyAlignment="1" applyProtection="1">
      <alignment horizontal="center" vertical="center" wrapText="1"/>
      <protection hidden="1"/>
    </xf>
    <xf numFmtId="164" fontId="1" fillId="0" borderId="74" xfId="0" applyNumberFormat="1" applyFont="1" applyBorder="1" applyAlignment="1" applyProtection="1">
      <alignment horizontal="left" vertical="center" wrapText="1"/>
      <protection hidden="1"/>
    </xf>
    <xf numFmtId="164" fontId="1" fillId="0" borderId="76" xfId="0" applyNumberFormat="1" applyFont="1" applyBorder="1" applyAlignment="1" applyProtection="1">
      <alignment horizontal="left" vertical="center" wrapText="1"/>
      <protection hidden="1"/>
    </xf>
    <xf numFmtId="164" fontId="1" fillId="0" borderId="75" xfId="0" applyNumberFormat="1" applyFont="1" applyBorder="1" applyAlignment="1" applyProtection="1">
      <alignment horizontal="left" vertical="center" wrapText="1"/>
      <protection hidden="1"/>
    </xf>
    <xf numFmtId="0" fontId="19" fillId="0" borderId="0"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30" fillId="7" borderId="0" xfId="0" applyFont="1" applyFill="1" applyAlignment="1" applyProtection="1">
      <alignment horizontal="center" vertical="center" shrinkToFit="1"/>
      <protection hidden="1"/>
    </xf>
  </cellXfs>
  <cellStyles count="2">
    <cellStyle name="Гиперссылка" xfId="1" builtinId="8"/>
    <cellStyle name="Обычный" xfId="0" builtinId="0"/>
  </cellStyles>
  <dxfs count="48">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b/>
        <i val="0"/>
        <condense val="0"/>
        <extend val="0"/>
      </font>
    </dxf>
    <dxf>
      <font>
        <b/>
        <i val="0"/>
        <condense val="0"/>
        <extend val="0"/>
      </font>
    </dxf>
    <dxf>
      <font>
        <b/>
        <i val="0"/>
        <condense val="0"/>
        <extend val="0"/>
      </font>
    </dxf>
    <dxf>
      <font>
        <b/>
        <i val="0"/>
        <condense val="0"/>
        <extend val="0"/>
      </font>
    </dxf>
    <dxf>
      <font>
        <b val="0"/>
        <i/>
        <condense val="0"/>
        <extend val="0"/>
        <color indexed="21"/>
      </font>
    </dxf>
    <dxf>
      <font>
        <condense val="0"/>
        <extend val="0"/>
        <color indexed="10"/>
      </font>
    </dxf>
    <dxf>
      <font>
        <b/>
        <i val="0"/>
        <condense val="0"/>
        <extend val="0"/>
        <color indexed="12"/>
      </font>
    </dxf>
    <dxf>
      <font>
        <b val="0"/>
        <i/>
        <condense val="0"/>
        <extend val="0"/>
        <color indexed="21"/>
      </font>
    </dxf>
    <dxf>
      <font>
        <condense val="0"/>
        <extend val="0"/>
        <color indexed="10"/>
      </font>
    </dxf>
    <dxf>
      <font>
        <b/>
        <i val="0"/>
        <condense val="0"/>
        <extend val="0"/>
        <color indexed="12"/>
      </font>
    </dxf>
    <dxf>
      <font>
        <b val="0"/>
        <i val="0"/>
        <condense val="0"/>
        <extend val="0"/>
        <color auto="1"/>
      </font>
      <fill>
        <patternFill>
          <bgColor indexed="47"/>
        </patternFill>
      </fill>
    </dxf>
    <dxf>
      <font>
        <condense val="0"/>
        <extend val="0"/>
        <color auto="1"/>
      </font>
      <fill>
        <patternFill>
          <bgColor indexed="47"/>
        </patternFill>
      </fill>
    </dxf>
    <dxf>
      <font>
        <b val="0"/>
        <i val="0"/>
        <condense val="0"/>
        <extend val="0"/>
        <color auto="1"/>
      </font>
      <fill>
        <patternFill>
          <bgColor indexed="42"/>
        </patternFill>
      </fill>
    </dxf>
    <dxf>
      <font>
        <b/>
        <i val="0"/>
        <condense val="0"/>
        <extend val="0"/>
        <color auto="1"/>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b/>
        <i val="0"/>
        <condense val="0"/>
        <extend val="0"/>
      </font>
    </dxf>
    <dxf>
      <font>
        <b/>
        <i val="0"/>
        <condense val="0"/>
        <extend val="0"/>
      </font>
    </dxf>
    <dxf>
      <font>
        <b val="0"/>
        <i/>
        <condense val="0"/>
        <extend val="0"/>
        <color indexed="21"/>
      </font>
    </dxf>
    <dxf>
      <font>
        <condense val="0"/>
        <extend val="0"/>
        <color indexed="10"/>
      </font>
    </dxf>
    <dxf>
      <font>
        <b/>
        <i val="0"/>
        <condense val="0"/>
        <extend val="0"/>
        <color indexed="12"/>
      </font>
    </dxf>
    <dxf>
      <font>
        <b val="0"/>
        <i/>
        <condense val="0"/>
        <extend val="0"/>
        <color indexed="21"/>
      </font>
    </dxf>
    <dxf>
      <font>
        <condense val="0"/>
        <extend val="0"/>
        <color indexed="10"/>
      </font>
    </dxf>
    <dxf>
      <font>
        <b/>
        <i val="0"/>
        <condense val="0"/>
        <extend val="0"/>
        <color indexed="12"/>
      </font>
    </dxf>
    <dxf>
      <font>
        <b val="0"/>
        <i val="0"/>
        <condense val="0"/>
        <extend val="0"/>
        <color auto="1"/>
      </font>
      <fill>
        <patternFill>
          <bgColor indexed="47"/>
        </patternFill>
      </fill>
    </dxf>
    <dxf>
      <font>
        <condense val="0"/>
        <extend val="0"/>
        <color auto="1"/>
      </font>
      <fill>
        <patternFill>
          <bgColor indexed="47"/>
        </patternFill>
      </fill>
    </dxf>
    <dxf>
      <font>
        <b val="0"/>
        <i val="0"/>
        <condense val="0"/>
        <extend val="0"/>
        <color auto="1"/>
      </font>
      <fill>
        <patternFill>
          <bgColor indexed="42"/>
        </patternFill>
      </fill>
    </dxf>
    <dxf>
      <font>
        <b/>
        <i val="0"/>
        <condense val="0"/>
        <extend val="0"/>
        <color auto="1"/>
      </font>
      <fill>
        <patternFill>
          <bgColor indexed="42"/>
        </patternFill>
      </fill>
    </dxf>
    <dxf>
      <font>
        <b/>
        <i val="0"/>
        <condense val="0"/>
        <extend val="0"/>
      </font>
    </dxf>
    <dxf>
      <font>
        <b/>
        <i val="0"/>
        <condense val="0"/>
        <extend val="0"/>
      </font>
    </dxf>
  </dxfs>
  <tableStyles count="0" defaultTableStyle="TableStyleMedium9" defaultPivotStyle="PivotStyleLight16"/>
  <colors>
    <mruColors>
      <color rgb="FF0118B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3" Type="http://schemas.openxmlformats.org/officeDocument/2006/relationships/image" Target="../media/image15.jpeg"/><Relationship Id="rId18" Type="http://schemas.openxmlformats.org/officeDocument/2006/relationships/image" Target="../media/image20.jpeg"/><Relationship Id="rId26" Type="http://schemas.openxmlformats.org/officeDocument/2006/relationships/image" Target="../media/image28.jpeg"/><Relationship Id="rId39" Type="http://schemas.openxmlformats.org/officeDocument/2006/relationships/image" Target="../media/image41.jpeg"/><Relationship Id="rId21" Type="http://schemas.openxmlformats.org/officeDocument/2006/relationships/image" Target="../media/image23.jpeg"/><Relationship Id="rId34" Type="http://schemas.openxmlformats.org/officeDocument/2006/relationships/image" Target="../media/image36.jpeg"/><Relationship Id="rId42" Type="http://schemas.openxmlformats.org/officeDocument/2006/relationships/image" Target="../media/image44.jpeg"/><Relationship Id="rId47" Type="http://schemas.openxmlformats.org/officeDocument/2006/relationships/image" Target="../media/image49.jpeg"/><Relationship Id="rId50" Type="http://schemas.openxmlformats.org/officeDocument/2006/relationships/image" Target="../media/image52.jpeg"/><Relationship Id="rId55" Type="http://schemas.openxmlformats.org/officeDocument/2006/relationships/image" Target="../media/image57.jpg"/><Relationship Id="rId7" Type="http://schemas.openxmlformats.org/officeDocument/2006/relationships/image" Target="../media/image9.jpeg"/><Relationship Id="rId12" Type="http://schemas.openxmlformats.org/officeDocument/2006/relationships/image" Target="../media/image14.jpeg"/><Relationship Id="rId17" Type="http://schemas.openxmlformats.org/officeDocument/2006/relationships/image" Target="../media/image19.jpeg"/><Relationship Id="rId25" Type="http://schemas.openxmlformats.org/officeDocument/2006/relationships/image" Target="../media/image27.jpeg"/><Relationship Id="rId33" Type="http://schemas.openxmlformats.org/officeDocument/2006/relationships/image" Target="../media/image35.png"/><Relationship Id="rId38" Type="http://schemas.openxmlformats.org/officeDocument/2006/relationships/image" Target="../media/image40.jpeg"/><Relationship Id="rId46" Type="http://schemas.openxmlformats.org/officeDocument/2006/relationships/image" Target="../media/image48.jpeg"/><Relationship Id="rId2" Type="http://schemas.openxmlformats.org/officeDocument/2006/relationships/image" Target="../media/image4.jpeg"/><Relationship Id="rId16" Type="http://schemas.openxmlformats.org/officeDocument/2006/relationships/image" Target="../media/image18.jpeg"/><Relationship Id="rId20" Type="http://schemas.openxmlformats.org/officeDocument/2006/relationships/image" Target="../media/image22.jpeg"/><Relationship Id="rId29" Type="http://schemas.openxmlformats.org/officeDocument/2006/relationships/image" Target="../media/image31.jpeg"/><Relationship Id="rId41" Type="http://schemas.openxmlformats.org/officeDocument/2006/relationships/image" Target="../media/image43.jpeg"/><Relationship Id="rId54" Type="http://schemas.openxmlformats.org/officeDocument/2006/relationships/image" Target="../media/image56.jpeg"/><Relationship Id="rId1" Type="http://schemas.openxmlformats.org/officeDocument/2006/relationships/image" Target="../media/image3.jpeg"/><Relationship Id="rId6" Type="http://schemas.openxmlformats.org/officeDocument/2006/relationships/image" Target="../media/image8.jpeg"/><Relationship Id="rId11" Type="http://schemas.openxmlformats.org/officeDocument/2006/relationships/image" Target="../media/image13.jpeg"/><Relationship Id="rId24" Type="http://schemas.openxmlformats.org/officeDocument/2006/relationships/image" Target="../media/image26.jpeg"/><Relationship Id="rId32" Type="http://schemas.openxmlformats.org/officeDocument/2006/relationships/image" Target="../media/image34.png"/><Relationship Id="rId37" Type="http://schemas.openxmlformats.org/officeDocument/2006/relationships/image" Target="../media/image39.jpeg"/><Relationship Id="rId40" Type="http://schemas.openxmlformats.org/officeDocument/2006/relationships/image" Target="../media/image42.jpeg"/><Relationship Id="rId45" Type="http://schemas.openxmlformats.org/officeDocument/2006/relationships/image" Target="../media/image47.jpeg"/><Relationship Id="rId53" Type="http://schemas.openxmlformats.org/officeDocument/2006/relationships/image" Target="../media/image55.jpeg"/><Relationship Id="rId5" Type="http://schemas.openxmlformats.org/officeDocument/2006/relationships/image" Target="../media/image7.jpeg"/><Relationship Id="rId15" Type="http://schemas.openxmlformats.org/officeDocument/2006/relationships/image" Target="../media/image17.png"/><Relationship Id="rId23" Type="http://schemas.openxmlformats.org/officeDocument/2006/relationships/image" Target="../media/image25.jpeg"/><Relationship Id="rId28" Type="http://schemas.openxmlformats.org/officeDocument/2006/relationships/image" Target="../media/image30.jpeg"/><Relationship Id="rId36" Type="http://schemas.openxmlformats.org/officeDocument/2006/relationships/image" Target="../media/image38.jpeg"/><Relationship Id="rId49" Type="http://schemas.openxmlformats.org/officeDocument/2006/relationships/image" Target="../media/image51.jpeg"/><Relationship Id="rId57" Type="http://schemas.openxmlformats.org/officeDocument/2006/relationships/image" Target="../media/image59.jpeg"/><Relationship Id="rId10" Type="http://schemas.openxmlformats.org/officeDocument/2006/relationships/image" Target="../media/image12.png"/><Relationship Id="rId19" Type="http://schemas.openxmlformats.org/officeDocument/2006/relationships/image" Target="../media/image21.jpeg"/><Relationship Id="rId31" Type="http://schemas.openxmlformats.org/officeDocument/2006/relationships/image" Target="../media/image33.png"/><Relationship Id="rId44" Type="http://schemas.openxmlformats.org/officeDocument/2006/relationships/image" Target="../media/image46.jpeg"/><Relationship Id="rId52" Type="http://schemas.openxmlformats.org/officeDocument/2006/relationships/image" Target="../media/image54.jpeg"/><Relationship Id="rId4" Type="http://schemas.openxmlformats.org/officeDocument/2006/relationships/image" Target="../media/image6.png"/><Relationship Id="rId9" Type="http://schemas.openxmlformats.org/officeDocument/2006/relationships/image" Target="../media/image11.jpeg"/><Relationship Id="rId14" Type="http://schemas.openxmlformats.org/officeDocument/2006/relationships/image" Target="../media/image16.jpeg"/><Relationship Id="rId22" Type="http://schemas.openxmlformats.org/officeDocument/2006/relationships/image" Target="../media/image24.jpeg"/><Relationship Id="rId27" Type="http://schemas.openxmlformats.org/officeDocument/2006/relationships/image" Target="../media/image29.jpeg"/><Relationship Id="rId30" Type="http://schemas.openxmlformats.org/officeDocument/2006/relationships/image" Target="../media/image32.jpeg"/><Relationship Id="rId35" Type="http://schemas.openxmlformats.org/officeDocument/2006/relationships/image" Target="../media/image37.jpeg"/><Relationship Id="rId43" Type="http://schemas.openxmlformats.org/officeDocument/2006/relationships/image" Target="../media/image45.jpeg"/><Relationship Id="rId48" Type="http://schemas.openxmlformats.org/officeDocument/2006/relationships/image" Target="../media/image50.jpeg"/><Relationship Id="rId56" Type="http://schemas.openxmlformats.org/officeDocument/2006/relationships/image" Target="../media/image58.png"/><Relationship Id="rId8" Type="http://schemas.openxmlformats.org/officeDocument/2006/relationships/image" Target="../media/image10.jpeg"/><Relationship Id="rId51" Type="http://schemas.openxmlformats.org/officeDocument/2006/relationships/image" Target="../media/image53.jpeg"/><Relationship Id="rId3"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3" Type="http://schemas.openxmlformats.org/officeDocument/2006/relationships/image" Target="../media/image17.png"/><Relationship Id="rId18" Type="http://schemas.openxmlformats.org/officeDocument/2006/relationships/image" Target="../media/image22.jpeg"/><Relationship Id="rId26" Type="http://schemas.openxmlformats.org/officeDocument/2006/relationships/image" Target="../media/image31.jpeg"/><Relationship Id="rId39" Type="http://schemas.openxmlformats.org/officeDocument/2006/relationships/image" Target="../media/image67.jpeg"/><Relationship Id="rId3" Type="http://schemas.openxmlformats.org/officeDocument/2006/relationships/image" Target="../media/image61.jpeg"/><Relationship Id="rId21" Type="http://schemas.openxmlformats.org/officeDocument/2006/relationships/image" Target="../media/image25.jpeg"/><Relationship Id="rId34" Type="http://schemas.openxmlformats.org/officeDocument/2006/relationships/image" Target="../media/image40.jpeg"/><Relationship Id="rId42" Type="http://schemas.openxmlformats.org/officeDocument/2006/relationships/image" Target="../media/image49.jpeg"/><Relationship Id="rId47" Type="http://schemas.openxmlformats.org/officeDocument/2006/relationships/image" Target="../media/image69.jpeg"/><Relationship Id="rId50" Type="http://schemas.openxmlformats.org/officeDocument/2006/relationships/image" Target="../media/image58.png"/><Relationship Id="rId7" Type="http://schemas.openxmlformats.org/officeDocument/2006/relationships/image" Target="../media/image10.jpeg"/><Relationship Id="rId12" Type="http://schemas.openxmlformats.org/officeDocument/2006/relationships/image" Target="../media/image16.jpeg"/><Relationship Id="rId17" Type="http://schemas.openxmlformats.org/officeDocument/2006/relationships/image" Target="../media/image64.jpeg"/><Relationship Id="rId25" Type="http://schemas.openxmlformats.org/officeDocument/2006/relationships/image" Target="../media/image30.jpeg"/><Relationship Id="rId33" Type="http://schemas.openxmlformats.org/officeDocument/2006/relationships/image" Target="../media/image39.jpeg"/><Relationship Id="rId38" Type="http://schemas.openxmlformats.org/officeDocument/2006/relationships/image" Target="../media/image45.jpeg"/><Relationship Id="rId46" Type="http://schemas.openxmlformats.org/officeDocument/2006/relationships/image" Target="../media/image53.jpeg"/><Relationship Id="rId2" Type="http://schemas.openxmlformats.org/officeDocument/2006/relationships/image" Target="../media/image4.jpeg"/><Relationship Id="rId16" Type="http://schemas.openxmlformats.org/officeDocument/2006/relationships/image" Target="../media/image20.jpeg"/><Relationship Id="rId20" Type="http://schemas.openxmlformats.org/officeDocument/2006/relationships/image" Target="../media/image66.jpeg"/><Relationship Id="rId29" Type="http://schemas.openxmlformats.org/officeDocument/2006/relationships/image" Target="../media/image34.png"/><Relationship Id="rId41" Type="http://schemas.openxmlformats.org/officeDocument/2006/relationships/image" Target="../media/image48.jpeg"/><Relationship Id="rId1" Type="http://schemas.openxmlformats.org/officeDocument/2006/relationships/image" Target="../media/image60.jpeg"/><Relationship Id="rId6" Type="http://schemas.openxmlformats.org/officeDocument/2006/relationships/image" Target="../media/image62.jpeg"/><Relationship Id="rId11" Type="http://schemas.openxmlformats.org/officeDocument/2006/relationships/image" Target="../media/image15.jpeg"/><Relationship Id="rId24" Type="http://schemas.openxmlformats.org/officeDocument/2006/relationships/image" Target="../media/image29.jpeg"/><Relationship Id="rId32" Type="http://schemas.openxmlformats.org/officeDocument/2006/relationships/image" Target="../media/image38.jpeg"/><Relationship Id="rId37" Type="http://schemas.openxmlformats.org/officeDocument/2006/relationships/image" Target="../media/image44.jpeg"/><Relationship Id="rId40" Type="http://schemas.openxmlformats.org/officeDocument/2006/relationships/image" Target="../media/image47.jpeg"/><Relationship Id="rId45" Type="http://schemas.openxmlformats.org/officeDocument/2006/relationships/image" Target="../media/image68.jpeg"/><Relationship Id="rId5" Type="http://schemas.openxmlformats.org/officeDocument/2006/relationships/image" Target="../media/image7.jpeg"/><Relationship Id="rId15" Type="http://schemas.openxmlformats.org/officeDocument/2006/relationships/image" Target="../media/image19.jpeg"/><Relationship Id="rId23" Type="http://schemas.openxmlformats.org/officeDocument/2006/relationships/image" Target="../media/image27.jpeg"/><Relationship Id="rId28" Type="http://schemas.openxmlformats.org/officeDocument/2006/relationships/image" Target="../media/image33.png"/><Relationship Id="rId36" Type="http://schemas.openxmlformats.org/officeDocument/2006/relationships/image" Target="../media/image43.jpeg"/><Relationship Id="rId49" Type="http://schemas.openxmlformats.org/officeDocument/2006/relationships/image" Target="../media/image56.jpeg"/><Relationship Id="rId10" Type="http://schemas.openxmlformats.org/officeDocument/2006/relationships/image" Target="../media/image14.jpeg"/><Relationship Id="rId19" Type="http://schemas.openxmlformats.org/officeDocument/2006/relationships/image" Target="../media/image65.jpeg"/><Relationship Id="rId31" Type="http://schemas.openxmlformats.org/officeDocument/2006/relationships/image" Target="../media/image36.jpeg"/><Relationship Id="rId44" Type="http://schemas.openxmlformats.org/officeDocument/2006/relationships/image" Target="../media/image51.jpeg"/><Relationship Id="rId4" Type="http://schemas.openxmlformats.org/officeDocument/2006/relationships/image" Target="../media/image6.png"/><Relationship Id="rId9" Type="http://schemas.openxmlformats.org/officeDocument/2006/relationships/image" Target="../media/image63.png"/><Relationship Id="rId14" Type="http://schemas.openxmlformats.org/officeDocument/2006/relationships/image" Target="../media/image18.jpeg"/><Relationship Id="rId22" Type="http://schemas.openxmlformats.org/officeDocument/2006/relationships/image" Target="../media/image26.jpeg"/><Relationship Id="rId27" Type="http://schemas.openxmlformats.org/officeDocument/2006/relationships/image" Target="../media/image32.jpeg"/><Relationship Id="rId30" Type="http://schemas.openxmlformats.org/officeDocument/2006/relationships/image" Target="../media/image35.png"/><Relationship Id="rId35" Type="http://schemas.openxmlformats.org/officeDocument/2006/relationships/image" Target="../media/image41.jpeg"/><Relationship Id="rId43" Type="http://schemas.openxmlformats.org/officeDocument/2006/relationships/image" Target="../media/image50.jpeg"/><Relationship Id="rId48" Type="http://schemas.openxmlformats.org/officeDocument/2006/relationships/image" Target="../media/image55.jpeg"/><Relationship Id="rId8" Type="http://schemas.openxmlformats.org/officeDocument/2006/relationships/image" Target="../media/image11.jpeg"/><Relationship Id="rId51" Type="http://schemas.openxmlformats.org/officeDocument/2006/relationships/image" Target="../media/image59.jpe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13</xdr:row>
      <xdr:rowOff>161925</xdr:rowOff>
    </xdr:from>
    <xdr:to>
      <xdr:col>8</xdr:col>
      <xdr:colOff>200025</xdr:colOff>
      <xdr:row>33</xdr:row>
      <xdr:rowOff>66675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0" y="2314575"/>
          <a:ext cx="3409950" cy="3190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1295400</xdr:colOff>
      <xdr:row>12</xdr:row>
      <xdr:rowOff>6350</xdr:rowOff>
    </xdr:from>
    <xdr:to>
      <xdr:col>4</xdr:col>
      <xdr:colOff>1447800</xdr:colOff>
      <xdr:row>13</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0250" y="1543050"/>
          <a:ext cx="152400" cy="152400"/>
        </a:xfrm>
        <a:prstGeom prst="rect">
          <a:avLst/>
        </a:prstGeom>
      </xdr:spPr>
    </xdr:pic>
    <xdr:clientData/>
  </xdr:twoCellAnchor>
  <xdr:twoCellAnchor editAs="oneCell">
    <xdr:from>
      <xdr:col>4</xdr:col>
      <xdr:colOff>1301750</xdr:colOff>
      <xdr:row>27</xdr:row>
      <xdr:rowOff>12700</xdr:rowOff>
    </xdr:from>
    <xdr:to>
      <xdr:col>4</xdr:col>
      <xdr:colOff>1454150</xdr:colOff>
      <xdr:row>28</xdr:row>
      <xdr:rowOff>1</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76600" y="4025900"/>
          <a:ext cx="152400" cy="152400"/>
        </a:xfrm>
        <a:prstGeom prst="rect">
          <a:avLst/>
        </a:prstGeom>
      </xdr:spPr>
    </xdr:pic>
    <xdr:clientData/>
  </xdr:twoCellAnchor>
  <xdr:twoCellAnchor editAs="oneCell">
    <xdr:from>
      <xdr:col>7</xdr:col>
      <xdr:colOff>53577</xdr:colOff>
      <xdr:row>46</xdr:row>
      <xdr:rowOff>11906</xdr:rowOff>
    </xdr:from>
    <xdr:to>
      <xdr:col>7</xdr:col>
      <xdr:colOff>205977</xdr:colOff>
      <xdr:row>47</xdr:row>
      <xdr:rowOff>1190</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01702" y="6994922"/>
          <a:ext cx="152400" cy="148034"/>
        </a:xfrm>
        <a:prstGeom prst="rect">
          <a:avLst/>
        </a:prstGeom>
      </xdr:spPr>
    </xdr:pic>
    <xdr:clientData/>
  </xdr:twoCellAnchor>
  <xdr:twoCellAnchor editAs="oneCell">
    <xdr:from>
      <xdr:col>7</xdr:col>
      <xdr:colOff>59531</xdr:colOff>
      <xdr:row>12</xdr:row>
      <xdr:rowOff>11906</xdr:rowOff>
    </xdr:from>
    <xdr:to>
      <xdr:col>7</xdr:col>
      <xdr:colOff>202408</xdr:colOff>
      <xdr:row>12</xdr:row>
      <xdr:rowOff>154783</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07656" y="1529953"/>
          <a:ext cx="142877" cy="142877"/>
        </a:xfrm>
        <a:prstGeom prst="rect">
          <a:avLst/>
        </a:prstGeom>
      </xdr:spPr>
    </xdr:pic>
    <xdr:clientData/>
  </xdr:twoCellAnchor>
  <xdr:twoCellAnchor editAs="oneCell">
    <xdr:from>
      <xdr:col>7</xdr:col>
      <xdr:colOff>65484</xdr:colOff>
      <xdr:row>30</xdr:row>
      <xdr:rowOff>11906</xdr:rowOff>
    </xdr:from>
    <xdr:to>
      <xdr:col>7</xdr:col>
      <xdr:colOff>208361</xdr:colOff>
      <xdr:row>30</xdr:row>
      <xdr:rowOff>154783</xdr:rowOff>
    </xdr:to>
    <xdr:pic>
      <xdr:nvPicPr>
        <xdr:cNvPr id="11" name="Picture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13609" y="4423172"/>
          <a:ext cx="142877" cy="142877"/>
        </a:xfrm>
        <a:prstGeom prst="rect">
          <a:avLst/>
        </a:prstGeom>
      </xdr:spPr>
    </xdr:pic>
    <xdr:clientData/>
  </xdr:twoCellAnchor>
  <xdr:twoCellAnchor editAs="oneCell">
    <xdr:from>
      <xdr:col>4</xdr:col>
      <xdr:colOff>1309688</xdr:colOff>
      <xdr:row>47</xdr:row>
      <xdr:rowOff>11907</xdr:rowOff>
    </xdr:from>
    <xdr:to>
      <xdr:col>4</xdr:col>
      <xdr:colOff>1452565</xdr:colOff>
      <xdr:row>47</xdr:row>
      <xdr:rowOff>154784</xdr:rowOff>
    </xdr:to>
    <xdr:pic>
      <xdr:nvPicPr>
        <xdr:cNvPr id="12" name="Picture 1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80172" y="7155657"/>
          <a:ext cx="142877" cy="142877"/>
        </a:xfrm>
        <a:prstGeom prst="rect">
          <a:avLst/>
        </a:prstGeom>
      </xdr:spPr>
    </xdr:pic>
    <xdr:clientData/>
  </xdr:twoCellAnchor>
  <xdr:twoCellAnchor editAs="oneCell">
    <xdr:from>
      <xdr:col>4</xdr:col>
      <xdr:colOff>1291828</xdr:colOff>
      <xdr:row>13</xdr:row>
      <xdr:rowOff>5953</xdr:rowOff>
    </xdr:from>
    <xdr:to>
      <xdr:col>4</xdr:col>
      <xdr:colOff>1440656</xdr:colOff>
      <xdr:row>13</xdr:row>
      <xdr:rowOff>154781</xdr:rowOff>
    </xdr:to>
    <xdr:pic>
      <xdr:nvPicPr>
        <xdr:cNvPr id="13" name="Picture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62312" y="1684734"/>
          <a:ext cx="148828" cy="148828"/>
        </a:xfrm>
        <a:prstGeom prst="rect">
          <a:avLst/>
        </a:prstGeom>
      </xdr:spPr>
    </xdr:pic>
    <xdr:clientData/>
  </xdr:twoCellAnchor>
  <xdr:twoCellAnchor editAs="oneCell">
    <xdr:from>
      <xdr:col>7</xdr:col>
      <xdr:colOff>53578</xdr:colOff>
      <xdr:row>27</xdr:row>
      <xdr:rowOff>5953</xdr:rowOff>
    </xdr:from>
    <xdr:to>
      <xdr:col>7</xdr:col>
      <xdr:colOff>202406</xdr:colOff>
      <xdr:row>27</xdr:row>
      <xdr:rowOff>154781</xdr:rowOff>
    </xdr:to>
    <xdr:pic>
      <xdr:nvPicPr>
        <xdr:cNvPr id="15" name="Picture 1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01703" y="3935016"/>
          <a:ext cx="148828" cy="148828"/>
        </a:xfrm>
        <a:prstGeom prst="rect">
          <a:avLst/>
        </a:prstGeom>
      </xdr:spPr>
    </xdr:pic>
    <xdr:clientData/>
  </xdr:twoCellAnchor>
  <xdr:twoCellAnchor editAs="oneCell">
    <xdr:from>
      <xdr:col>7</xdr:col>
      <xdr:colOff>53577</xdr:colOff>
      <xdr:row>47</xdr:row>
      <xdr:rowOff>11906</xdr:rowOff>
    </xdr:from>
    <xdr:to>
      <xdr:col>7</xdr:col>
      <xdr:colOff>202405</xdr:colOff>
      <xdr:row>48</xdr:row>
      <xdr:rowOff>1984</xdr:rowOff>
    </xdr:to>
    <xdr:pic>
      <xdr:nvPicPr>
        <xdr:cNvPr id="16" name="Picture 15"/>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01702" y="7155656"/>
          <a:ext cx="148828" cy="148828"/>
        </a:xfrm>
        <a:prstGeom prst="rect">
          <a:avLst/>
        </a:prstGeom>
      </xdr:spPr>
    </xdr:pic>
    <xdr:clientData/>
  </xdr:twoCellAnchor>
  <xdr:twoCellAnchor editAs="oneCell">
    <xdr:from>
      <xdr:col>7</xdr:col>
      <xdr:colOff>53577</xdr:colOff>
      <xdr:row>13</xdr:row>
      <xdr:rowOff>11906</xdr:rowOff>
    </xdr:from>
    <xdr:to>
      <xdr:col>7</xdr:col>
      <xdr:colOff>202405</xdr:colOff>
      <xdr:row>14</xdr:row>
      <xdr:rowOff>1984</xdr:rowOff>
    </xdr:to>
    <xdr:pic>
      <xdr:nvPicPr>
        <xdr:cNvPr id="14" name="Picture 13"/>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101702" y="1690687"/>
          <a:ext cx="148828" cy="148828"/>
        </a:xfrm>
        <a:prstGeom prst="rect">
          <a:avLst/>
        </a:prstGeom>
      </xdr:spPr>
    </xdr:pic>
    <xdr:clientData/>
  </xdr:twoCellAnchor>
  <xdr:twoCellAnchor editAs="oneCell">
    <xdr:from>
      <xdr:col>4</xdr:col>
      <xdr:colOff>1303735</xdr:colOff>
      <xdr:row>30</xdr:row>
      <xdr:rowOff>5953</xdr:rowOff>
    </xdr:from>
    <xdr:to>
      <xdr:col>4</xdr:col>
      <xdr:colOff>1452563</xdr:colOff>
      <xdr:row>30</xdr:row>
      <xdr:rowOff>154781</xdr:rowOff>
    </xdr:to>
    <xdr:pic>
      <xdr:nvPicPr>
        <xdr:cNvPr id="18" name="Picture 17"/>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274219" y="4417219"/>
          <a:ext cx="148828" cy="148828"/>
        </a:xfrm>
        <a:prstGeom prst="rect">
          <a:avLst/>
        </a:prstGeom>
      </xdr:spPr>
    </xdr:pic>
    <xdr:clientData/>
  </xdr:twoCellAnchor>
  <xdr:twoCellAnchor editAs="oneCell">
    <xdr:from>
      <xdr:col>4</xdr:col>
      <xdr:colOff>1303735</xdr:colOff>
      <xdr:row>46</xdr:row>
      <xdr:rowOff>5953</xdr:rowOff>
    </xdr:from>
    <xdr:to>
      <xdr:col>4</xdr:col>
      <xdr:colOff>1452563</xdr:colOff>
      <xdr:row>46</xdr:row>
      <xdr:rowOff>154781</xdr:rowOff>
    </xdr:to>
    <xdr:pic>
      <xdr:nvPicPr>
        <xdr:cNvPr id="19" name="Picture 1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274219" y="4417219"/>
          <a:ext cx="148828" cy="148828"/>
        </a:xfrm>
        <a:prstGeom prst="rect">
          <a:avLst/>
        </a:prstGeom>
      </xdr:spPr>
    </xdr:pic>
    <xdr:clientData/>
  </xdr:twoCellAnchor>
  <xdr:twoCellAnchor editAs="oneCell">
    <xdr:from>
      <xdr:col>4</xdr:col>
      <xdr:colOff>1297781</xdr:colOff>
      <xdr:row>14</xdr:row>
      <xdr:rowOff>5953</xdr:rowOff>
    </xdr:from>
    <xdr:to>
      <xdr:col>4</xdr:col>
      <xdr:colOff>1452563</xdr:colOff>
      <xdr:row>15</xdr:row>
      <xdr:rowOff>2</xdr:rowOff>
    </xdr:to>
    <xdr:pic>
      <xdr:nvPicPr>
        <xdr:cNvPr id="17" name="Picture 1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268265" y="1845469"/>
          <a:ext cx="154782" cy="154782"/>
        </a:xfrm>
        <a:prstGeom prst="rect">
          <a:avLst/>
        </a:prstGeom>
      </xdr:spPr>
    </xdr:pic>
    <xdr:clientData/>
  </xdr:twoCellAnchor>
  <xdr:twoCellAnchor editAs="oneCell">
    <xdr:from>
      <xdr:col>4</xdr:col>
      <xdr:colOff>1297781</xdr:colOff>
      <xdr:row>31</xdr:row>
      <xdr:rowOff>5953</xdr:rowOff>
    </xdr:from>
    <xdr:to>
      <xdr:col>4</xdr:col>
      <xdr:colOff>1452563</xdr:colOff>
      <xdr:row>32</xdr:row>
      <xdr:rowOff>1</xdr:rowOff>
    </xdr:to>
    <xdr:pic>
      <xdr:nvPicPr>
        <xdr:cNvPr id="21" name="Picture 20"/>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268265" y="1845469"/>
          <a:ext cx="154782" cy="154782"/>
        </a:xfrm>
        <a:prstGeom prst="rect">
          <a:avLst/>
        </a:prstGeom>
      </xdr:spPr>
    </xdr:pic>
    <xdr:clientData/>
  </xdr:twoCellAnchor>
  <xdr:twoCellAnchor editAs="oneCell">
    <xdr:from>
      <xdr:col>7</xdr:col>
      <xdr:colOff>47624</xdr:colOff>
      <xdr:row>44</xdr:row>
      <xdr:rowOff>5953</xdr:rowOff>
    </xdr:from>
    <xdr:to>
      <xdr:col>7</xdr:col>
      <xdr:colOff>202406</xdr:colOff>
      <xdr:row>45</xdr:row>
      <xdr:rowOff>1</xdr:rowOff>
    </xdr:to>
    <xdr:pic>
      <xdr:nvPicPr>
        <xdr:cNvPr id="22" name="Picture 21"/>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095749" y="6667500"/>
          <a:ext cx="154782" cy="154782"/>
        </a:xfrm>
        <a:prstGeom prst="rect">
          <a:avLst/>
        </a:prstGeom>
      </xdr:spPr>
    </xdr:pic>
    <xdr:clientData/>
  </xdr:twoCellAnchor>
  <xdr:twoCellAnchor editAs="oneCell">
    <xdr:from>
      <xdr:col>7</xdr:col>
      <xdr:colOff>53578</xdr:colOff>
      <xdr:row>14</xdr:row>
      <xdr:rowOff>11906</xdr:rowOff>
    </xdr:from>
    <xdr:to>
      <xdr:col>7</xdr:col>
      <xdr:colOff>202406</xdr:colOff>
      <xdr:row>15</xdr:row>
      <xdr:rowOff>1</xdr:rowOff>
    </xdr:to>
    <xdr:pic>
      <xdr:nvPicPr>
        <xdr:cNvPr id="20" name="Picture 19"/>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101703" y="1851422"/>
          <a:ext cx="148828" cy="148828"/>
        </a:xfrm>
        <a:prstGeom prst="rect">
          <a:avLst/>
        </a:prstGeom>
      </xdr:spPr>
    </xdr:pic>
    <xdr:clientData/>
  </xdr:twoCellAnchor>
  <xdr:twoCellAnchor editAs="oneCell">
    <xdr:from>
      <xdr:col>7</xdr:col>
      <xdr:colOff>53578</xdr:colOff>
      <xdr:row>29</xdr:row>
      <xdr:rowOff>11906</xdr:rowOff>
    </xdr:from>
    <xdr:to>
      <xdr:col>7</xdr:col>
      <xdr:colOff>202406</xdr:colOff>
      <xdr:row>30</xdr:row>
      <xdr:rowOff>1984</xdr:rowOff>
    </xdr:to>
    <xdr:pic>
      <xdr:nvPicPr>
        <xdr:cNvPr id="24" name="Picture 23"/>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101703" y="1851422"/>
          <a:ext cx="148828" cy="148828"/>
        </a:xfrm>
        <a:prstGeom prst="rect">
          <a:avLst/>
        </a:prstGeom>
      </xdr:spPr>
    </xdr:pic>
    <xdr:clientData/>
  </xdr:twoCellAnchor>
  <xdr:twoCellAnchor editAs="oneCell">
    <xdr:from>
      <xdr:col>4</xdr:col>
      <xdr:colOff>1303707</xdr:colOff>
      <xdr:row>45</xdr:row>
      <xdr:rowOff>5953</xdr:rowOff>
    </xdr:from>
    <xdr:to>
      <xdr:col>4</xdr:col>
      <xdr:colOff>1452535</xdr:colOff>
      <xdr:row>45</xdr:row>
      <xdr:rowOff>154781</xdr:rowOff>
    </xdr:to>
    <xdr:pic>
      <xdr:nvPicPr>
        <xdr:cNvPr id="25" name="Picture 24"/>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74191" y="6828234"/>
          <a:ext cx="148828" cy="148828"/>
        </a:xfrm>
        <a:prstGeom prst="rect">
          <a:avLst/>
        </a:prstGeom>
      </xdr:spPr>
    </xdr:pic>
    <xdr:clientData/>
  </xdr:twoCellAnchor>
  <xdr:twoCellAnchor editAs="oneCell">
    <xdr:from>
      <xdr:col>4</xdr:col>
      <xdr:colOff>1297782</xdr:colOff>
      <xdr:row>15</xdr:row>
      <xdr:rowOff>5954</xdr:rowOff>
    </xdr:from>
    <xdr:to>
      <xdr:col>4</xdr:col>
      <xdr:colOff>1446610</xdr:colOff>
      <xdr:row>15</xdr:row>
      <xdr:rowOff>154782</xdr:rowOff>
    </xdr:to>
    <xdr:pic>
      <xdr:nvPicPr>
        <xdr:cNvPr id="23" name="Picture 22"/>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268266" y="2006204"/>
          <a:ext cx="148828" cy="148828"/>
        </a:xfrm>
        <a:prstGeom prst="rect">
          <a:avLst/>
        </a:prstGeom>
      </xdr:spPr>
    </xdr:pic>
    <xdr:clientData/>
  </xdr:twoCellAnchor>
  <xdr:twoCellAnchor editAs="oneCell">
    <xdr:from>
      <xdr:col>7</xdr:col>
      <xdr:colOff>59530</xdr:colOff>
      <xdr:row>31</xdr:row>
      <xdr:rowOff>5953</xdr:rowOff>
    </xdr:from>
    <xdr:to>
      <xdr:col>7</xdr:col>
      <xdr:colOff>208358</xdr:colOff>
      <xdr:row>31</xdr:row>
      <xdr:rowOff>154781</xdr:rowOff>
    </xdr:to>
    <xdr:pic>
      <xdr:nvPicPr>
        <xdr:cNvPr id="27" name="Picture 26"/>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107655" y="4577953"/>
          <a:ext cx="148828" cy="148828"/>
        </a:xfrm>
        <a:prstGeom prst="rect">
          <a:avLst/>
        </a:prstGeom>
      </xdr:spPr>
    </xdr:pic>
    <xdr:clientData/>
  </xdr:twoCellAnchor>
  <xdr:twoCellAnchor editAs="oneCell">
    <xdr:from>
      <xdr:col>7</xdr:col>
      <xdr:colOff>53577</xdr:colOff>
      <xdr:row>45</xdr:row>
      <xdr:rowOff>5953</xdr:rowOff>
    </xdr:from>
    <xdr:to>
      <xdr:col>7</xdr:col>
      <xdr:colOff>202405</xdr:colOff>
      <xdr:row>45</xdr:row>
      <xdr:rowOff>154781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101702" y="6828234"/>
          <a:ext cx="148828" cy="148828"/>
        </a:xfrm>
        <a:prstGeom prst="rect">
          <a:avLst/>
        </a:prstGeom>
      </xdr:spPr>
    </xdr:pic>
    <xdr:clientData/>
  </xdr:twoCellAnchor>
  <xdr:twoCellAnchor editAs="oneCell">
    <xdr:from>
      <xdr:col>7</xdr:col>
      <xdr:colOff>53577</xdr:colOff>
      <xdr:row>15</xdr:row>
      <xdr:rowOff>11906</xdr:rowOff>
    </xdr:from>
    <xdr:to>
      <xdr:col>7</xdr:col>
      <xdr:colOff>196452</xdr:colOff>
      <xdr:row>15</xdr:row>
      <xdr:rowOff>154781</xdr:rowOff>
    </xdr:to>
    <xdr:pic>
      <xdr:nvPicPr>
        <xdr:cNvPr id="26" name="Picture 25"/>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101702" y="2012156"/>
          <a:ext cx="142875" cy="142875"/>
        </a:xfrm>
        <a:prstGeom prst="rect">
          <a:avLst/>
        </a:prstGeom>
      </xdr:spPr>
    </xdr:pic>
    <xdr:clientData/>
  </xdr:twoCellAnchor>
  <xdr:twoCellAnchor editAs="oneCell">
    <xdr:from>
      <xdr:col>4</xdr:col>
      <xdr:colOff>1309688</xdr:colOff>
      <xdr:row>29</xdr:row>
      <xdr:rowOff>11907</xdr:rowOff>
    </xdr:from>
    <xdr:to>
      <xdr:col>4</xdr:col>
      <xdr:colOff>1452563</xdr:colOff>
      <xdr:row>29</xdr:row>
      <xdr:rowOff>154782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280172" y="4262438"/>
          <a:ext cx="142875" cy="142875"/>
        </a:xfrm>
        <a:prstGeom prst="rect">
          <a:avLst/>
        </a:prstGeom>
      </xdr:spPr>
    </xdr:pic>
    <xdr:clientData/>
  </xdr:twoCellAnchor>
  <xdr:twoCellAnchor editAs="oneCell">
    <xdr:from>
      <xdr:col>4</xdr:col>
      <xdr:colOff>1309687</xdr:colOff>
      <xdr:row>44</xdr:row>
      <xdr:rowOff>11907</xdr:rowOff>
    </xdr:from>
    <xdr:to>
      <xdr:col>4</xdr:col>
      <xdr:colOff>1452562</xdr:colOff>
      <xdr:row>44</xdr:row>
      <xdr:rowOff>154782</xdr:rowOff>
    </xdr:to>
    <xdr:pic>
      <xdr:nvPicPr>
        <xdr:cNvPr id="31" name="Picture 30"/>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280171" y="6673454"/>
          <a:ext cx="142875" cy="142875"/>
        </a:xfrm>
        <a:prstGeom prst="rect">
          <a:avLst/>
        </a:prstGeom>
      </xdr:spPr>
    </xdr:pic>
    <xdr:clientData/>
  </xdr:twoCellAnchor>
  <xdr:twoCellAnchor editAs="oneCell">
    <xdr:from>
      <xdr:col>4</xdr:col>
      <xdr:colOff>1303734</xdr:colOff>
      <xdr:row>16</xdr:row>
      <xdr:rowOff>5953</xdr:rowOff>
    </xdr:from>
    <xdr:to>
      <xdr:col>4</xdr:col>
      <xdr:colOff>1452562</xdr:colOff>
      <xdr:row>16</xdr:row>
      <xdr:rowOff>154781</xdr:rowOff>
    </xdr:to>
    <xdr:pic>
      <xdr:nvPicPr>
        <xdr:cNvPr id="29" name="Picture 28"/>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274218" y="2166937"/>
          <a:ext cx="148828" cy="148828"/>
        </a:xfrm>
        <a:prstGeom prst="rect">
          <a:avLst/>
        </a:prstGeom>
      </xdr:spPr>
    </xdr:pic>
    <xdr:clientData/>
  </xdr:twoCellAnchor>
  <xdr:twoCellAnchor editAs="oneCell">
    <xdr:from>
      <xdr:col>4</xdr:col>
      <xdr:colOff>1303734</xdr:colOff>
      <xdr:row>32</xdr:row>
      <xdr:rowOff>5953</xdr:rowOff>
    </xdr:from>
    <xdr:to>
      <xdr:col>4</xdr:col>
      <xdr:colOff>1452562</xdr:colOff>
      <xdr:row>32</xdr:row>
      <xdr:rowOff>154781</xdr:rowOff>
    </xdr:to>
    <xdr:pic>
      <xdr:nvPicPr>
        <xdr:cNvPr id="33" name="Picture 32"/>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274218" y="4738687"/>
          <a:ext cx="148828" cy="148828"/>
        </a:xfrm>
        <a:prstGeom prst="rect">
          <a:avLst/>
        </a:prstGeom>
      </xdr:spPr>
    </xdr:pic>
    <xdr:clientData/>
  </xdr:twoCellAnchor>
  <xdr:twoCellAnchor editAs="oneCell">
    <xdr:from>
      <xdr:col>7</xdr:col>
      <xdr:colOff>47624</xdr:colOff>
      <xdr:row>50</xdr:row>
      <xdr:rowOff>5953</xdr:rowOff>
    </xdr:from>
    <xdr:to>
      <xdr:col>7</xdr:col>
      <xdr:colOff>196452</xdr:colOff>
      <xdr:row>50</xdr:row>
      <xdr:rowOff>154781</xdr:rowOff>
    </xdr:to>
    <xdr:pic>
      <xdr:nvPicPr>
        <xdr:cNvPr id="34" name="Picture 33"/>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095749" y="7631906"/>
          <a:ext cx="148828" cy="148828"/>
        </a:xfrm>
        <a:prstGeom prst="rect">
          <a:avLst/>
        </a:prstGeom>
      </xdr:spPr>
    </xdr:pic>
    <xdr:clientData/>
  </xdr:twoCellAnchor>
  <xdr:twoCellAnchor editAs="oneCell">
    <xdr:from>
      <xdr:col>7</xdr:col>
      <xdr:colOff>47625</xdr:colOff>
      <xdr:row>16</xdr:row>
      <xdr:rowOff>5954</xdr:rowOff>
    </xdr:from>
    <xdr:to>
      <xdr:col>7</xdr:col>
      <xdr:colOff>196453</xdr:colOff>
      <xdr:row>16</xdr:row>
      <xdr:rowOff>154782</xdr:rowOff>
    </xdr:to>
    <xdr:pic>
      <xdr:nvPicPr>
        <xdr:cNvPr id="32" name="Picture 31"/>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4095750" y="2166938"/>
          <a:ext cx="148828" cy="148828"/>
        </a:xfrm>
        <a:prstGeom prst="rect">
          <a:avLst/>
        </a:prstGeom>
      </xdr:spPr>
    </xdr:pic>
    <xdr:clientData/>
  </xdr:twoCellAnchor>
  <xdr:twoCellAnchor editAs="oneCell">
    <xdr:from>
      <xdr:col>7</xdr:col>
      <xdr:colOff>53577</xdr:colOff>
      <xdr:row>34</xdr:row>
      <xdr:rowOff>5953</xdr:rowOff>
    </xdr:from>
    <xdr:to>
      <xdr:col>7</xdr:col>
      <xdr:colOff>202405</xdr:colOff>
      <xdr:row>34</xdr:row>
      <xdr:rowOff>154781</xdr:rowOff>
    </xdr:to>
    <xdr:pic>
      <xdr:nvPicPr>
        <xdr:cNvPr id="36" name="Picture 35"/>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4101702" y="5060156"/>
          <a:ext cx="148828" cy="148828"/>
        </a:xfrm>
        <a:prstGeom prst="rect">
          <a:avLst/>
        </a:prstGeom>
      </xdr:spPr>
    </xdr:pic>
    <xdr:clientData/>
  </xdr:twoCellAnchor>
  <xdr:twoCellAnchor editAs="oneCell">
    <xdr:from>
      <xdr:col>4</xdr:col>
      <xdr:colOff>1303735</xdr:colOff>
      <xdr:row>51</xdr:row>
      <xdr:rowOff>11907</xdr:rowOff>
    </xdr:from>
    <xdr:to>
      <xdr:col>4</xdr:col>
      <xdr:colOff>1452563</xdr:colOff>
      <xdr:row>52</xdr:row>
      <xdr:rowOff>1</xdr:rowOff>
    </xdr:to>
    <xdr:pic>
      <xdr:nvPicPr>
        <xdr:cNvPr id="37" name="Picture 36"/>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274219" y="7798595"/>
          <a:ext cx="148828" cy="148828"/>
        </a:xfrm>
        <a:prstGeom prst="rect">
          <a:avLst/>
        </a:prstGeom>
      </xdr:spPr>
    </xdr:pic>
    <xdr:clientData/>
  </xdr:twoCellAnchor>
  <xdr:twoCellAnchor editAs="oneCell">
    <xdr:from>
      <xdr:col>4</xdr:col>
      <xdr:colOff>1303734</xdr:colOff>
      <xdr:row>17</xdr:row>
      <xdr:rowOff>5953</xdr:rowOff>
    </xdr:from>
    <xdr:to>
      <xdr:col>4</xdr:col>
      <xdr:colOff>1458515</xdr:colOff>
      <xdr:row>18</xdr:row>
      <xdr:rowOff>1</xdr:rowOff>
    </xdr:to>
    <xdr:pic>
      <xdr:nvPicPr>
        <xdr:cNvPr id="35" name="Picture 34"/>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274218" y="2327672"/>
          <a:ext cx="154781" cy="154781"/>
        </a:xfrm>
        <a:prstGeom prst="rect">
          <a:avLst/>
        </a:prstGeom>
      </xdr:spPr>
    </xdr:pic>
    <xdr:clientData/>
  </xdr:twoCellAnchor>
  <xdr:twoCellAnchor editAs="oneCell">
    <xdr:from>
      <xdr:col>7</xdr:col>
      <xdr:colOff>59529</xdr:colOff>
      <xdr:row>32</xdr:row>
      <xdr:rowOff>11905</xdr:rowOff>
    </xdr:from>
    <xdr:to>
      <xdr:col>7</xdr:col>
      <xdr:colOff>208358</xdr:colOff>
      <xdr:row>33</xdr:row>
      <xdr:rowOff>1984</xdr:rowOff>
    </xdr:to>
    <xdr:pic>
      <xdr:nvPicPr>
        <xdr:cNvPr id="39" name="Picture 38"/>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4107654" y="4744639"/>
          <a:ext cx="148829" cy="148829"/>
        </a:xfrm>
        <a:prstGeom prst="rect">
          <a:avLst/>
        </a:prstGeom>
      </xdr:spPr>
    </xdr:pic>
    <xdr:clientData/>
  </xdr:twoCellAnchor>
  <xdr:twoCellAnchor editAs="oneCell">
    <xdr:from>
      <xdr:col>7</xdr:col>
      <xdr:colOff>47623</xdr:colOff>
      <xdr:row>51</xdr:row>
      <xdr:rowOff>11905</xdr:rowOff>
    </xdr:from>
    <xdr:to>
      <xdr:col>7</xdr:col>
      <xdr:colOff>196452</xdr:colOff>
      <xdr:row>52</xdr:row>
      <xdr:rowOff>2442</xdr:rowOff>
    </xdr:to>
    <xdr:pic>
      <xdr:nvPicPr>
        <xdr:cNvPr id="40" name="Picture 39"/>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4095748" y="7798593"/>
          <a:ext cx="148829" cy="148829"/>
        </a:xfrm>
        <a:prstGeom prst="rect">
          <a:avLst/>
        </a:prstGeom>
      </xdr:spPr>
    </xdr:pic>
    <xdr:clientData/>
  </xdr:twoCellAnchor>
  <xdr:twoCellAnchor editAs="oneCell">
    <xdr:from>
      <xdr:col>7</xdr:col>
      <xdr:colOff>41671</xdr:colOff>
      <xdr:row>17</xdr:row>
      <xdr:rowOff>5952</xdr:rowOff>
    </xdr:from>
    <xdr:to>
      <xdr:col>7</xdr:col>
      <xdr:colOff>196452</xdr:colOff>
      <xdr:row>18</xdr:row>
      <xdr:rowOff>1983</xdr:rowOff>
    </xdr:to>
    <xdr:pic>
      <xdr:nvPicPr>
        <xdr:cNvPr id="38" name="Picture 37"/>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4089796" y="2327671"/>
          <a:ext cx="154781" cy="154781"/>
        </a:xfrm>
        <a:prstGeom prst="rect">
          <a:avLst/>
        </a:prstGeom>
      </xdr:spPr>
    </xdr:pic>
    <xdr:clientData/>
  </xdr:twoCellAnchor>
  <xdr:twoCellAnchor editAs="oneCell">
    <xdr:from>
      <xdr:col>4</xdr:col>
      <xdr:colOff>1297782</xdr:colOff>
      <xdr:row>34</xdr:row>
      <xdr:rowOff>5953</xdr:rowOff>
    </xdr:from>
    <xdr:to>
      <xdr:col>4</xdr:col>
      <xdr:colOff>1452563</xdr:colOff>
      <xdr:row>35</xdr:row>
      <xdr:rowOff>1984</xdr:rowOff>
    </xdr:to>
    <xdr:pic>
      <xdr:nvPicPr>
        <xdr:cNvPr id="42" name="Picture 41"/>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268266" y="5060156"/>
          <a:ext cx="154781" cy="154781"/>
        </a:xfrm>
        <a:prstGeom prst="rect">
          <a:avLst/>
        </a:prstGeom>
      </xdr:spPr>
    </xdr:pic>
    <xdr:clientData/>
  </xdr:twoCellAnchor>
  <xdr:twoCellAnchor editAs="oneCell">
    <xdr:from>
      <xdr:col>4</xdr:col>
      <xdr:colOff>1297781</xdr:colOff>
      <xdr:row>50</xdr:row>
      <xdr:rowOff>5953</xdr:rowOff>
    </xdr:from>
    <xdr:to>
      <xdr:col>4</xdr:col>
      <xdr:colOff>1452562</xdr:colOff>
      <xdr:row>51</xdr:row>
      <xdr:rowOff>1984</xdr:rowOff>
    </xdr:to>
    <xdr:pic>
      <xdr:nvPicPr>
        <xdr:cNvPr id="43" name="Picture 42"/>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268265" y="7631906"/>
          <a:ext cx="154781" cy="154781"/>
        </a:xfrm>
        <a:prstGeom prst="rect">
          <a:avLst/>
        </a:prstGeom>
      </xdr:spPr>
    </xdr:pic>
    <xdr:clientData/>
  </xdr:twoCellAnchor>
  <xdr:twoCellAnchor editAs="oneCell">
    <xdr:from>
      <xdr:col>4</xdr:col>
      <xdr:colOff>1303735</xdr:colOff>
      <xdr:row>18</xdr:row>
      <xdr:rowOff>5954</xdr:rowOff>
    </xdr:from>
    <xdr:to>
      <xdr:col>4</xdr:col>
      <xdr:colOff>1458516</xdr:colOff>
      <xdr:row>19</xdr:row>
      <xdr:rowOff>0</xdr:rowOff>
    </xdr:to>
    <xdr:pic>
      <xdr:nvPicPr>
        <xdr:cNvPr id="41" name="Picture 40"/>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274219" y="2488407"/>
          <a:ext cx="154781" cy="154781"/>
        </a:xfrm>
        <a:prstGeom prst="rect">
          <a:avLst/>
        </a:prstGeom>
      </xdr:spPr>
    </xdr:pic>
    <xdr:clientData/>
  </xdr:twoCellAnchor>
  <xdr:twoCellAnchor editAs="oneCell">
    <xdr:from>
      <xdr:col>4</xdr:col>
      <xdr:colOff>1297782</xdr:colOff>
      <xdr:row>33</xdr:row>
      <xdr:rowOff>5953</xdr:rowOff>
    </xdr:from>
    <xdr:to>
      <xdr:col>4</xdr:col>
      <xdr:colOff>1452563</xdr:colOff>
      <xdr:row>34</xdr:row>
      <xdr:rowOff>1</xdr:rowOff>
    </xdr:to>
    <xdr:pic>
      <xdr:nvPicPr>
        <xdr:cNvPr id="45" name="Picture 44"/>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268266" y="4899422"/>
          <a:ext cx="154781" cy="154781"/>
        </a:xfrm>
        <a:prstGeom prst="rect">
          <a:avLst/>
        </a:prstGeom>
      </xdr:spPr>
    </xdr:pic>
    <xdr:clientData/>
  </xdr:twoCellAnchor>
  <xdr:twoCellAnchor editAs="oneCell">
    <xdr:from>
      <xdr:col>7</xdr:col>
      <xdr:colOff>53577</xdr:colOff>
      <xdr:row>48</xdr:row>
      <xdr:rowOff>5953</xdr:rowOff>
    </xdr:from>
    <xdr:to>
      <xdr:col>7</xdr:col>
      <xdr:colOff>208358</xdr:colOff>
      <xdr:row>49</xdr:row>
      <xdr:rowOff>1984</xdr:rowOff>
    </xdr:to>
    <xdr:pic>
      <xdr:nvPicPr>
        <xdr:cNvPr id="46" name="Picture 45"/>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4101702" y="7310437"/>
          <a:ext cx="154781" cy="154781"/>
        </a:xfrm>
        <a:prstGeom prst="rect">
          <a:avLst/>
        </a:prstGeom>
      </xdr:spPr>
    </xdr:pic>
    <xdr:clientData/>
  </xdr:twoCellAnchor>
  <xdr:twoCellAnchor editAs="oneCell">
    <xdr:from>
      <xdr:col>7</xdr:col>
      <xdr:colOff>41671</xdr:colOff>
      <xdr:row>18</xdr:row>
      <xdr:rowOff>11906</xdr:rowOff>
    </xdr:from>
    <xdr:to>
      <xdr:col>7</xdr:col>
      <xdr:colOff>190499</xdr:colOff>
      <xdr:row>19</xdr:row>
      <xdr:rowOff>1984</xdr:rowOff>
    </xdr:to>
    <xdr:pic>
      <xdr:nvPicPr>
        <xdr:cNvPr id="44" name="Picture 43"/>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4089796" y="2494359"/>
          <a:ext cx="148828" cy="148828"/>
        </a:xfrm>
        <a:prstGeom prst="rect">
          <a:avLst/>
        </a:prstGeom>
      </xdr:spPr>
    </xdr:pic>
    <xdr:clientData/>
  </xdr:twoCellAnchor>
  <xdr:twoCellAnchor editAs="oneCell">
    <xdr:from>
      <xdr:col>7</xdr:col>
      <xdr:colOff>53577</xdr:colOff>
      <xdr:row>35</xdr:row>
      <xdr:rowOff>5953</xdr:rowOff>
    </xdr:from>
    <xdr:to>
      <xdr:col>7</xdr:col>
      <xdr:colOff>202405</xdr:colOff>
      <xdr:row>35</xdr:row>
      <xdr:rowOff>154781</xdr:rowOff>
    </xdr:to>
    <xdr:pic>
      <xdr:nvPicPr>
        <xdr:cNvPr id="48" name="Picture 47"/>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4101702" y="5220891"/>
          <a:ext cx="148828" cy="148828"/>
        </a:xfrm>
        <a:prstGeom prst="rect">
          <a:avLst/>
        </a:prstGeom>
      </xdr:spPr>
    </xdr:pic>
    <xdr:clientData/>
  </xdr:twoCellAnchor>
  <xdr:twoCellAnchor editAs="oneCell">
    <xdr:from>
      <xdr:col>4</xdr:col>
      <xdr:colOff>1297781</xdr:colOff>
      <xdr:row>49</xdr:row>
      <xdr:rowOff>5953</xdr:rowOff>
    </xdr:from>
    <xdr:to>
      <xdr:col>4</xdr:col>
      <xdr:colOff>1446609</xdr:colOff>
      <xdr:row>49</xdr:row>
      <xdr:rowOff>154781</xdr:rowOff>
    </xdr:to>
    <xdr:pic>
      <xdr:nvPicPr>
        <xdr:cNvPr id="49" name="Picture 48"/>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268265" y="7471172"/>
          <a:ext cx="148828" cy="148828"/>
        </a:xfrm>
        <a:prstGeom prst="rect">
          <a:avLst/>
        </a:prstGeom>
      </xdr:spPr>
    </xdr:pic>
    <xdr:clientData/>
  </xdr:twoCellAnchor>
  <xdr:twoCellAnchor editAs="oneCell">
    <xdr:from>
      <xdr:col>4</xdr:col>
      <xdr:colOff>1303733</xdr:colOff>
      <xdr:row>19</xdr:row>
      <xdr:rowOff>5952</xdr:rowOff>
    </xdr:from>
    <xdr:to>
      <xdr:col>4</xdr:col>
      <xdr:colOff>1452563</xdr:colOff>
      <xdr:row>19</xdr:row>
      <xdr:rowOff>154782</xdr:rowOff>
    </xdr:to>
    <xdr:pic>
      <xdr:nvPicPr>
        <xdr:cNvPr id="47" name="Picture 46"/>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274217" y="2649140"/>
          <a:ext cx="148830" cy="148830"/>
        </a:xfrm>
        <a:prstGeom prst="rect">
          <a:avLst/>
        </a:prstGeom>
      </xdr:spPr>
    </xdr:pic>
    <xdr:clientData/>
  </xdr:twoCellAnchor>
  <xdr:twoCellAnchor editAs="oneCell">
    <xdr:from>
      <xdr:col>7</xdr:col>
      <xdr:colOff>47624</xdr:colOff>
      <xdr:row>33</xdr:row>
      <xdr:rowOff>5953</xdr:rowOff>
    </xdr:from>
    <xdr:to>
      <xdr:col>7</xdr:col>
      <xdr:colOff>196454</xdr:colOff>
      <xdr:row>33</xdr:row>
      <xdr:rowOff>154783</xdr:rowOff>
    </xdr:to>
    <xdr:pic>
      <xdr:nvPicPr>
        <xdr:cNvPr id="51" name="Picture 50"/>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4095749" y="4899422"/>
          <a:ext cx="148830" cy="148830"/>
        </a:xfrm>
        <a:prstGeom prst="rect">
          <a:avLst/>
        </a:prstGeom>
      </xdr:spPr>
    </xdr:pic>
    <xdr:clientData/>
  </xdr:twoCellAnchor>
  <xdr:twoCellAnchor editAs="oneCell">
    <xdr:from>
      <xdr:col>7</xdr:col>
      <xdr:colOff>47624</xdr:colOff>
      <xdr:row>49</xdr:row>
      <xdr:rowOff>5953</xdr:rowOff>
    </xdr:from>
    <xdr:to>
      <xdr:col>7</xdr:col>
      <xdr:colOff>196454</xdr:colOff>
      <xdr:row>49</xdr:row>
      <xdr:rowOff>154783</xdr:rowOff>
    </xdr:to>
    <xdr:pic>
      <xdr:nvPicPr>
        <xdr:cNvPr id="52" name="Picture 51"/>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4095749" y="7471172"/>
          <a:ext cx="148830" cy="148830"/>
        </a:xfrm>
        <a:prstGeom prst="rect">
          <a:avLst/>
        </a:prstGeom>
      </xdr:spPr>
    </xdr:pic>
    <xdr:clientData/>
  </xdr:twoCellAnchor>
  <xdr:twoCellAnchor editAs="oneCell">
    <xdr:from>
      <xdr:col>7</xdr:col>
      <xdr:colOff>41672</xdr:colOff>
      <xdr:row>19</xdr:row>
      <xdr:rowOff>5953</xdr:rowOff>
    </xdr:from>
    <xdr:to>
      <xdr:col>7</xdr:col>
      <xdr:colOff>196454</xdr:colOff>
      <xdr:row>20</xdr:row>
      <xdr:rowOff>0</xdr:rowOff>
    </xdr:to>
    <xdr:pic>
      <xdr:nvPicPr>
        <xdr:cNvPr id="50" name="Picture 49"/>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4089797" y="2649141"/>
          <a:ext cx="154782" cy="154782"/>
        </a:xfrm>
        <a:prstGeom prst="rect">
          <a:avLst/>
        </a:prstGeom>
      </xdr:spPr>
    </xdr:pic>
    <xdr:clientData/>
  </xdr:twoCellAnchor>
  <xdr:twoCellAnchor editAs="oneCell">
    <xdr:from>
      <xdr:col>4</xdr:col>
      <xdr:colOff>1297781</xdr:colOff>
      <xdr:row>35</xdr:row>
      <xdr:rowOff>5954</xdr:rowOff>
    </xdr:from>
    <xdr:to>
      <xdr:col>4</xdr:col>
      <xdr:colOff>1452563</xdr:colOff>
      <xdr:row>36</xdr:row>
      <xdr:rowOff>1</xdr:rowOff>
    </xdr:to>
    <xdr:pic>
      <xdr:nvPicPr>
        <xdr:cNvPr id="54" name="Picture 53"/>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268265" y="5220892"/>
          <a:ext cx="154782" cy="154782"/>
        </a:xfrm>
        <a:prstGeom prst="rect">
          <a:avLst/>
        </a:prstGeom>
      </xdr:spPr>
    </xdr:pic>
    <xdr:clientData/>
  </xdr:twoCellAnchor>
  <xdr:twoCellAnchor editAs="oneCell">
    <xdr:from>
      <xdr:col>4</xdr:col>
      <xdr:colOff>1297781</xdr:colOff>
      <xdr:row>48</xdr:row>
      <xdr:rowOff>5953</xdr:rowOff>
    </xdr:from>
    <xdr:to>
      <xdr:col>4</xdr:col>
      <xdr:colOff>1452563</xdr:colOff>
      <xdr:row>49</xdr:row>
      <xdr:rowOff>2442</xdr:rowOff>
    </xdr:to>
    <xdr:pic>
      <xdr:nvPicPr>
        <xdr:cNvPr id="55" name="Picture 54"/>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268265" y="7310437"/>
          <a:ext cx="154782" cy="154782"/>
        </a:xfrm>
        <a:prstGeom prst="rect">
          <a:avLst/>
        </a:prstGeom>
      </xdr:spPr>
    </xdr:pic>
    <xdr:clientData/>
  </xdr:twoCellAnchor>
  <xdr:twoCellAnchor editAs="oneCell">
    <xdr:from>
      <xdr:col>4</xdr:col>
      <xdr:colOff>1303736</xdr:colOff>
      <xdr:row>20</xdr:row>
      <xdr:rowOff>5955</xdr:rowOff>
    </xdr:from>
    <xdr:to>
      <xdr:col>4</xdr:col>
      <xdr:colOff>1458516</xdr:colOff>
      <xdr:row>21</xdr:row>
      <xdr:rowOff>2</xdr:rowOff>
    </xdr:to>
    <xdr:pic>
      <xdr:nvPicPr>
        <xdr:cNvPr id="53" name="Picture 52"/>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3274220" y="2809877"/>
          <a:ext cx="154780" cy="154780"/>
        </a:xfrm>
        <a:prstGeom prst="rect">
          <a:avLst/>
        </a:prstGeom>
      </xdr:spPr>
    </xdr:pic>
    <xdr:clientData/>
  </xdr:twoCellAnchor>
  <xdr:twoCellAnchor editAs="oneCell">
    <xdr:from>
      <xdr:col>4</xdr:col>
      <xdr:colOff>1297781</xdr:colOff>
      <xdr:row>36</xdr:row>
      <xdr:rowOff>5953</xdr:rowOff>
    </xdr:from>
    <xdr:to>
      <xdr:col>4</xdr:col>
      <xdr:colOff>1452561</xdr:colOff>
      <xdr:row>37</xdr:row>
      <xdr:rowOff>1983</xdr:rowOff>
    </xdr:to>
    <xdr:pic>
      <xdr:nvPicPr>
        <xdr:cNvPr id="57" name="Picture 56"/>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3268265" y="5381625"/>
          <a:ext cx="154780" cy="154780"/>
        </a:xfrm>
        <a:prstGeom prst="rect">
          <a:avLst/>
        </a:prstGeom>
      </xdr:spPr>
    </xdr:pic>
    <xdr:clientData/>
  </xdr:twoCellAnchor>
  <xdr:twoCellAnchor editAs="oneCell">
    <xdr:from>
      <xdr:col>7</xdr:col>
      <xdr:colOff>47624</xdr:colOff>
      <xdr:row>54</xdr:row>
      <xdr:rowOff>5953</xdr:rowOff>
    </xdr:from>
    <xdr:to>
      <xdr:col>7</xdr:col>
      <xdr:colOff>202404</xdr:colOff>
      <xdr:row>55</xdr:row>
      <xdr:rowOff>1983</xdr:rowOff>
    </xdr:to>
    <xdr:pic>
      <xdr:nvPicPr>
        <xdr:cNvPr id="58" name="Picture 57"/>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4095749" y="8274844"/>
          <a:ext cx="154780" cy="154780"/>
        </a:xfrm>
        <a:prstGeom prst="rect">
          <a:avLst/>
        </a:prstGeom>
      </xdr:spPr>
    </xdr:pic>
    <xdr:clientData/>
  </xdr:twoCellAnchor>
  <xdr:twoCellAnchor editAs="oneCell">
    <xdr:from>
      <xdr:col>7</xdr:col>
      <xdr:colOff>47625</xdr:colOff>
      <xdr:row>20</xdr:row>
      <xdr:rowOff>11907</xdr:rowOff>
    </xdr:from>
    <xdr:to>
      <xdr:col>7</xdr:col>
      <xdr:colOff>190501</xdr:colOff>
      <xdr:row>20</xdr:row>
      <xdr:rowOff>154783</xdr:rowOff>
    </xdr:to>
    <xdr:pic>
      <xdr:nvPicPr>
        <xdr:cNvPr id="56" name="Picture 55"/>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4095750" y="2815829"/>
          <a:ext cx="142876" cy="142876"/>
        </a:xfrm>
        <a:prstGeom prst="rect">
          <a:avLst/>
        </a:prstGeom>
      </xdr:spPr>
    </xdr:pic>
    <xdr:clientData/>
  </xdr:twoCellAnchor>
  <xdr:twoCellAnchor editAs="oneCell">
    <xdr:from>
      <xdr:col>7</xdr:col>
      <xdr:colOff>47624</xdr:colOff>
      <xdr:row>37</xdr:row>
      <xdr:rowOff>11906</xdr:rowOff>
    </xdr:from>
    <xdr:to>
      <xdr:col>7</xdr:col>
      <xdr:colOff>190500</xdr:colOff>
      <xdr:row>37</xdr:row>
      <xdr:rowOff>154782</xdr:rowOff>
    </xdr:to>
    <xdr:pic>
      <xdr:nvPicPr>
        <xdr:cNvPr id="60" name="Picture 59"/>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4095749" y="5548312"/>
          <a:ext cx="142876" cy="142876"/>
        </a:xfrm>
        <a:prstGeom prst="rect">
          <a:avLst/>
        </a:prstGeom>
      </xdr:spPr>
    </xdr:pic>
    <xdr:clientData/>
  </xdr:twoCellAnchor>
  <xdr:twoCellAnchor editAs="oneCell">
    <xdr:from>
      <xdr:col>4</xdr:col>
      <xdr:colOff>1309688</xdr:colOff>
      <xdr:row>55</xdr:row>
      <xdr:rowOff>11907</xdr:rowOff>
    </xdr:from>
    <xdr:to>
      <xdr:col>4</xdr:col>
      <xdr:colOff>1452564</xdr:colOff>
      <xdr:row>55</xdr:row>
      <xdr:rowOff>154783</xdr:rowOff>
    </xdr:to>
    <xdr:pic>
      <xdr:nvPicPr>
        <xdr:cNvPr id="61" name="Picture 60"/>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280172" y="8441532"/>
          <a:ext cx="142876" cy="142876"/>
        </a:xfrm>
        <a:prstGeom prst="rect">
          <a:avLst/>
        </a:prstGeom>
      </xdr:spPr>
    </xdr:pic>
    <xdr:clientData/>
  </xdr:twoCellAnchor>
  <xdr:twoCellAnchor editAs="oneCell">
    <xdr:from>
      <xdr:col>4</xdr:col>
      <xdr:colOff>1303735</xdr:colOff>
      <xdr:row>21</xdr:row>
      <xdr:rowOff>11907</xdr:rowOff>
    </xdr:from>
    <xdr:to>
      <xdr:col>4</xdr:col>
      <xdr:colOff>1446611</xdr:colOff>
      <xdr:row>21</xdr:row>
      <xdr:rowOff>154783</xdr:rowOff>
    </xdr:to>
    <xdr:pic>
      <xdr:nvPicPr>
        <xdr:cNvPr id="59" name="Picture 58"/>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3274219" y="2976563"/>
          <a:ext cx="142876" cy="142876"/>
        </a:xfrm>
        <a:prstGeom prst="rect">
          <a:avLst/>
        </a:prstGeom>
      </xdr:spPr>
    </xdr:pic>
    <xdr:clientData/>
  </xdr:twoCellAnchor>
  <xdr:twoCellAnchor editAs="oneCell">
    <xdr:from>
      <xdr:col>7</xdr:col>
      <xdr:colOff>53577</xdr:colOff>
      <xdr:row>36</xdr:row>
      <xdr:rowOff>11906</xdr:rowOff>
    </xdr:from>
    <xdr:to>
      <xdr:col>7</xdr:col>
      <xdr:colOff>196453</xdr:colOff>
      <xdr:row>36</xdr:row>
      <xdr:rowOff>154782</xdr:rowOff>
    </xdr:to>
    <xdr:pic>
      <xdr:nvPicPr>
        <xdr:cNvPr id="63" name="Picture 62"/>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4101702" y="5387578"/>
          <a:ext cx="142876" cy="142876"/>
        </a:xfrm>
        <a:prstGeom prst="rect">
          <a:avLst/>
        </a:prstGeom>
      </xdr:spPr>
    </xdr:pic>
    <xdr:clientData/>
  </xdr:twoCellAnchor>
  <xdr:twoCellAnchor editAs="oneCell">
    <xdr:from>
      <xdr:col>7</xdr:col>
      <xdr:colOff>47624</xdr:colOff>
      <xdr:row>55</xdr:row>
      <xdr:rowOff>11906</xdr:rowOff>
    </xdr:from>
    <xdr:to>
      <xdr:col>7</xdr:col>
      <xdr:colOff>190500</xdr:colOff>
      <xdr:row>55</xdr:row>
      <xdr:rowOff>154782</xdr:rowOff>
    </xdr:to>
    <xdr:pic>
      <xdr:nvPicPr>
        <xdr:cNvPr id="64" name="Picture 63"/>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4095749" y="8441531"/>
          <a:ext cx="142876" cy="142876"/>
        </a:xfrm>
        <a:prstGeom prst="rect">
          <a:avLst/>
        </a:prstGeom>
      </xdr:spPr>
    </xdr:pic>
    <xdr:clientData/>
  </xdr:twoCellAnchor>
  <xdr:twoCellAnchor editAs="oneCell">
    <xdr:from>
      <xdr:col>7</xdr:col>
      <xdr:colOff>41672</xdr:colOff>
      <xdr:row>21</xdr:row>
      <xdr:rowOff>5954</xdr:rowOff>
    </xdr:from>
    <xdr:to>
      <xdr:col>7</xdr:col>
      <xdr:colOff>190500</xdr:colOff>
      <xdr:row>21</xdr:row>
      <xdr:rowOff>154782</xdr:rowOff>
    </xdr:to>
    <xdr:pic>
      <xdr:nvPicPr>
        <xdr:cNvPr id="62" name="Picture 61"/>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4089797" y="2970610"/>
          <a:ext cx="148828" cy="148828"/>
        </a:xfrm>
        <a:prstGeom prst="rect">
          <a:avLst/>
        </a:prstGeom>
      </xdr:spPr>
    </xdr:pic>
    <xdr:clientData/>
  </xdr:twoCellAnchor>
  <xdr:twoCellAnchor editAs="oneCell">
    <xdr:from>
      <xdr:col>4</xdr:col>
      <xdr:colOff>1297781</xdr:colOff>
      <xdr:row>37</xdr:row>
      <xdr:rowOff>11906</xdr:rowOff>
    </xdr:from>
    <xdr:to>
      <xdr:col>4</xdr:col>
      <xdr:colOff>1446609</xdr:colOff>
      <xdr:row>38</xdr:row>
      <xdr:rowOff>1984</xdr:rowOff>
    </xdr:to>
    <xdr:pic>
      <xdr:nvPicPr>
        <xdr:cNvPr id="66" name="Picture 65"/>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3268265" y="5548312"/>
          <a:ext cx="148828" cy="148828"/>
        </a:xfrm>
        <a:prstGeom prst="rect">
          <a:avLst/>
        </a:prstGeom>
      </xdr:spPr>
    </xdr:pic>
    <xdr:clientData/>
  </xdr:twoCellAnchor>
  <xdr:twoCellAnchor editAs="oneCell">
    <xdr:from>
      <xdr:col>4</xdr:col>
      <xdr:colOff>1303735</xdr:colOff>
      <xdr:row>54</xdr:row>
      <xdr:rowOff>5953</xdr:rowOff>
    </xdr:from>
    <xdr:to>
      <xdr:col>4</xdr:col>
      <xdr:colOff>1452563</xdr:colOff>
      <xdr:row>54</xdr:row>
      <xdr:rowOff>154781</xdr:rowOff>
    </xdr:to>
    <xdr:pic>
      <xdr:nvPicPr>
        <xdr:cNvPr id="67" name="Picture 66"/>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3274219" y="8274844"/>
          <a:ext cx="148828" cy="148828"/>
        </a:xfrm>
        <a:prstGeom prst="rect">
          <a:avLst/>
        </a:prstGeom>
      </xdr:spPr>
    </xdr:pic>
    <xdr:clientData/>
  </xdr:twoCellAnchor>
  <xdr:twoCellAnchor editAs="oneCell">
    <xdr:from>
      <xdr:col>4</xdr:col>
      <xdr:colOff>1291828</xdr:colOff>
      <xdr:row>22</xdr:row>
      <xdr:rowOff>5952</xdr:rowOff>
    </xdr:from>
    <xdr:to>
      <xdr:col>4</xdr:col>
      <xdr:colOff>1446610</xdr:colOff>
      <xdr:row>23</xdr:row>
      <xdr:rowOff>2442</xdr:rowOff>
    </xdr:to>
    <xdr:pic>
      <xdr:nvPicPr>
        <xdr:cNvPr id="23808" name="Picture 23807"/>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3262312" y="3131343"/>
          <a:ext cx="154782" cy="154782"/>
        </a:xfrm>
        <a:prstGeom prst="rect">
          <a:avLst/>
        </a:prstGeom>
      </xdr:spPr>
    </xdr:pic>
    <xdr:clientData/>
  </xdr:twoCellAnchor>
  <xdr:twoCellAnchor editAs="oneCell">
    <xdr:from>
      <xdr:col>4</xdr:col>
      <xdr:colOff>1291828</xdr:colOff>
      <xdr:row>38</xdr:row>
      <xdr:rowOff>5953</xdr:rowOff>
    </xdr:from>
    <xdr:to>
      <xdr:col>4</xdr:col>
      <xdr:colOff>1446610</xdr:colOff>
      <xdr:row>39</xdr:row>
      <xdr:rowOff>1</xdr:rowOff>
    </xdr:to>
    <xdr:pic>
      <xdr:nvPicPr>
        <xdr:cNvPr id="69" name="Picture 68"/>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3262312" y="5703094"/>
          <a:ext cx="154782" cy="154782"/>
        </a:xfrm>
        <a:prstGeom prst="rect">
          <a:avLst/>
        </a:prstGeom>
      </xdr:spPr>
    </xdr:pic>
    <xdr:clientData/>
  </xdr:twoCellAnchor>
  <xdr:twoCellAnchor editAs="oneCell">
    <xdr:from>
      <xdr:col>7</xdr:col>
      <xdr:colOff>41671</xdr:colOff>
      <xdr:row>52</xdr:row>
      <xdr:rowOff>5953</xdr:rowOff>
    </xdr:from>
    <xdr:to>
      <xdr:col>7</xdr:col>
      <xdr:colOff>196453</xdr:colOff>
      <xdr:row>53</xdr:row>
      <xdr:rowOff>5328</xdr:rowOff>
    </xdr:to>
    <xdr:pic>
      <xdr:nvPicPr>
        <xdr:cNvPr id="70" name="Picture 69"/>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4089796" y="7953375"/>
          <a:ext cx="154782" cy="154782"/>
        </a:xfrm>
        <a:prstGeom prst="rect">
          <a:avLst/>
        </a:prstGeom>
      </xdr:spPr>
    </xdr:pic>
    <xdr:clientData/>
  </xdr:twoCellAnchor>
  <xdr:twoCellAnchor editAs="oneCell">
    <xdr:from>
      <xdr:col>7</xdr:col>
      <xdr:colOff>41673</xdr:colOff>
      <xdr:row>22</xdr:row>
      <xdr:rowOff>5954</xdr:rowOff>
    </xdr:from>
    <xdr:to>
      <xdr:col>7</xdr:col>
      <xdr:colOff>196453</xdr:colOff>
      <xdr:row>23</xdr:row>
      <xdr:rowOff>2442</xdr:rowOff>
    </xdr:to>
    <xdr:pic>
      <xdr:nvPicPr>
        <xdr:cNvPr id="23809" name="Picture 23808"/>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tretch>
          <a:fillRect/>
        </a:stretch>
      </xdr:blipFill>
      <xdr:spPr>
        <a:xfrm>
          <a:off x="4089798" y="3131345"/>
          <a:ext cx="154780" cy="154780"/>
        </a:xfrm>
        <a:prstGeom prst="rect">
          <a:avLst/>
        </a:prstGeom>
      </xdr:spPr>
    </xdr:pic>
    <xdr:clientData/>
  </xdr:twoCellAnchor>
  <xdr:twoCellAnchor editAs="oneCell">
    <xdr:from>
      <xdr:col>7</xdr:col>
      <xdr:colOff>41671</xdr:colOff>
      <xdr:row>40</xdr:row>
      <xdr:rowOff>5953</xdr:rowOff>
    </xdr:from>
    <xdr:to>
      <xdr:col>7</xdr:col>
      <xdr:colOff>196451</xdr:colOff>
      <xdr:row>41</xdr:row>
      <xdr:rowOff>1983</xdr:rowOff>
    </xdr:to>
    <xdr:pic>
      <xdr:nvPicPr>
        <xdr:cNvPr id="72" name="Picture 71"/>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tretch>
          <a:fillRect/>
        </a:stretch>
      </xdr:blipFill>
      <xdr:spPr>
        <a:xfrm>
          <a:off x="4089796" y="6024562"/>
          <a:ext cx="154780" cy="154780"/>
        </a:xfrm>
        <a:prstGeom prst="rect">
          <a:avLst/>
        </a:prstGeom>
      </xdr:spPr>
    </xdr:pic>
    <xdr:clientData/>
  </xdr:twoCellAnchor>
  <xdr:twoCellAnchor editAs="oneCell">
    <xdr:from>
      <xdr:col>4</xdr:col>
      <xdr:colOff>1303734</xdr:colOff>
      <xdr:row>53</xdr:row>
      <xdr:rowOff>5953</xdr:rowOff>
    </xdr:from>
    <xdr:to>
      <xdr:col>4</xdr:col>
      <xdr:colOff>1458514</xdr:colOff>
      <xdr:row>54</xdr:row>
      <xdr:rowOff>1983</xdr:rowOff>
    </xdr:to>
    <xdr:pic>
      <xdr:nvPicPr>
        <xdr:cNvPr id="73" name="Picture 72"/>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tretch>
          <a:fillRect/>
        </a:stretch>
      </xdr:blipFill>
      <xdr:spPr>
        <a:xfrm>
          <a:off x="3274218" y="8114109"/>
          <a:ext cx="154780" cy="154780"/>
        </a:xfrm>
        <a:prstGeom prst="rect">
          <a:avLst/>
        </a:prstGeom>
      </xdr:spPr>
    </xdr:pic>
    <xdr:clientData/>
  </xdr:twoCellAnchor>
  <xdr:twoCellAnchor editAs="oneCell">
    <xdr:from>
      <xdr:col>4</xdr:col>
      <xdr:colOff>1291828</xdr:colOff>
      <xdr:row>23</xdr:row>
      <xdr:rowOff>11906</xdr:rowOff>
    </xdr:from>
    <xdr:to>
      <xdr:col>4</xdr:col>
      <xdr:colOff>1440656</xdr:colOff>
      <xdr:row>24</xdr:row>
      <xdr:rowOff>1984</xdr:rowOff>
    </xdr:to>
    <xdr:pic>
      <xdr:nvPicPr>
        <xdr:cNvPr id="23810" name="Picture 23809"/>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Lst>
        </a:blip>
        <a:stretch>
          <a:fillRect/>
        </a:stretch>
      </xdr:blipFill>
      <xdr:spPr>
        <a:xfrm>
          <a:off x="3262312" y="3298031"/>
          <a:ext cx="148828" cy="148828"/>
        </a:xfrm>
        <a:prstGeom prst="rect">
          <a:avLst/>
        </a:prstGeom>
      </xdr:spPr>
    </xdr:pic>
    <xdr:clientData/>
  </xdr:twoCellAnchor>
  <xdr:twoCellAnchor editAs="oneCell">
    <xdr:from>
      <xdr:col>4</xdr:col>
      <xdr:colOff>1297782</xdr:colOff>
      <xdr:row>39</xdr:row>
      <xdr:rowOff>11906</xdr:rowOff>
    </xdr:from>
    <xdr:to>
      <xdr:col>4</xdr:col>
      <xdr:colOff>1446610</xdr:colOff>
      <xdr:row>40</xdr:row>
      <xdr:rowOff>1984</xdr:rowOff>
    </xdr:to>
    <xdr:pic>
      <xdr:nvPicPr>
        <xdr:cNvPr id="75" name="Picture 74"/>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Lst>
        </a:blip>
        <a:stretch>
          <a:fillRect/>
        </a:stretch>
      </xdr:blipFill>
      <xdr:spPr>
        <a:xfrm>
          <a:off x="3268266" y="5869781"/>
          <a:ext cx="148828" cy="148828"/>
        </a:xfrm>
        <a:prstGeom prst="rect">
          <a:avLst/>
        </a:prstGeom>
      </xdr:spPr>
    </xdr:pic>
    <xdr:clientData/>
  </xdr:twoCellAnchor>
  <xdr:twoCellAnchor editAs="oneCell">
    <xdr:from>
      <xdr:col>7</xdr:col>
      <xdr:colOff>47624</xdr:colOff>
      <xdr:row>56</xdr:row>
      <xdr:rowOff>5953</xdr:rowOff>
    </xdr:from>
    <xdr:to>
      <xdr:col>7</xdr:col>
      <xdr:colOff>196452</xdr:colOff>
      <xdr:row>56</xdr:row>
      <xdr:rowOff>154781</xdr:rowOff>
    </xdr:to>
    <xdr:pic>
      <xdr:nvPicPr>
        <xdr:cNvPr id="76" name="Picture 75"/>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tretch>
          <a:fillRect/>
        </a:stretch>
      </xdr:blipFill>
      <xdr:spPr>
        <a:xfrm>
          <a:off x="4095749" y="8596312"/>
          <a:ext cx="148828" cy="148828"/>
        </a:xfrm>
        <a:prstGeom prst="rect">
          <a:avLst/>
        </a:prstGeom>
      </xdr:spPr>
    </xdr:pic>
    <xdr:clientData/>
  </xdr:twoCellAnchor>
  <xdr:twoCellAnchor editAs="oneCell">
    <xdr:from>
      <xdr:col>7</xdr:col>
      <xdr:colOff>47624</xdr:colOff>
      <xdr:row>23</xdr:row>
      <xdr:rowOff>11906</xdr:rowOff>
    </xdr:from>
    <xdr:to>
      <xdr:col>7</xdr:col>
      <xdr:colOff>190499</xdr:colOff>
      <xdr:row>23</xdr:row>
      <xdr:rowOff>154781</xdr:rowOff>
    </xdr:to>
    <xdr:pic>
      <xdr:nvPicPr>
        <xdr:cNvPr id="23811" name="Picture 23810"/>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4095749" y="3298031"/>
          <a:ext cx="142875" cy="142875"/>
        </a:xfrm>
        <a:prstGeom prst="rect">
          <a:avLst/>
        </a:prstGeom>
      </xdr:spPr>
    </xdr:pic>
    <xdr:clientData/>
  </xdr:twoCellAnchor>
  <xdr:twoCellAnchor editAs="oneCell">
    <xdr:from>
      <xdr:col>7</xdr:col>
      <xdr:colOff>47624</xdr:colOff>
      <xdr:row>42</xdr:row>
      <xdr:rowOff>11906</xdr:rowOff>
    </xdr:from>
    <xdr:to>
      <xdr:col>7</xdr:col>
      <xdr:colOff>190499</xdr:colOff>
      <xdr:row>42</xdr:row>
      <xdr:rowOff>154781</xdr:rowOff>
    </xdr:to>
    <xdr:pic>
      <xdr:nvPicPr>
        <xdr:cNvPr id="78" name="Picture 77"/>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4095749" y="6351984"/>
          <a:ext cx="142875" cy="142875"/>
        </a:xfrm>
        <a:prstGeom prst="rect">
          <a:avLst/>
        </a:prstGeom>
      </xdr:spPr>
    </xdr:pic>
    <xdr:clientData/>
  </xdr:twoCellAnchor>
  <xdr:twoCellAnchor editAs="oneCell">
    <xdr:from>
      <xdr:col>4</xdr:col>
      <xdr:colOff>1303734</xdr:colOff>
      <xdr:row>57</xdr:row>
      <xdr:rowOff>11906</xdr:rowOff>
    </xdr:from>
    <xdr:to>
      <xdr:col>4</xdr:col>
      <xdr:colOff>1446609</xdr:colOff>
      <xdr:row>57</xdr:row>
      <xdr:rowOff>154781</xdr:rowOff>
    </xdr:to>
    <xdr:pic>
      <xdr:nvPicPr>
        <xdr:cNvPr id="79" name="Picture 78"/>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3274218" y="8763000"/>
          <a:ext cx="142875" cy="142875"/>
        </a:xfrm>
        <a:prstGeom prst="rect">
          <a:avLst/>
        </a:prstGeom>
      </xdr:spPr>
    </xdr:pic>
    <xdr:clientData/>
  </xdr:twoCellAnchor>
  <xdr:twoCellAnchor editAs="oneCell">
    <xdr:from>
      <xdr:col>4</xdr:col>
      <xdr:colOff>1297781</xdr:colOff>
      <xdr:row>24</xdr:row>
      <xdr:rowOff>11906</xdr:rowOff>
    </xdr:from>
    <xdr:to>
      <xdr:col>4</xdr:col>
      <xdr:colOff>1440656</xdr:colOff>
      <xdr:row>24</xdr:row>
      <xdr:rowOff>154781</xdr:rowOff>
    </xdr:to>
    <xdr:pic>
      <xdr:nvPicPr>
        <xdr:cNvPr id="23812" name="Picture 23811"/>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3268265" y="3458765"/>
          <a:ext cx="142875" cy="142875"/>
        </a:xfrm>
        <a:prstGeom prst="rect">
          <a:avLst/>
        </a:prstGeom>
      </xdr:spPr>
    </xdr:pic>
    <xdr:clientData/>
  </xdr:twoCellAnchor>
  <xdr:twoCellAnchor editAs="oneCell">
    <xdr:from>
      <xdr:col>7</xdr:col>
      <xdr:colOff>41671</xdr:colOff>
      <xdr:row>38</xdr:row>
      <xdr:rowOff>11906</xdr:rowOff>
    </xdr:from>
    <xdr:to>
      <xdr:col>7</xdr:col>
      <xdr:colOff>184546</xdr:colOff>
      <xdr:row>38</xdr:row>
      <xdr:rowOff>154781</xdr:rowOff>
    </xdr:to>
    <xdr:pic>
      <xdr:nvPicPr>
        <xdr:cNvPr id="81" name="Picture 80"/>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4089796" y="5709047"/>
          <a:ext cx="142875" cy="142875"/>
        </a:xfrm>
        <a:prstGeom prst="rect">
          <a:avLst/>
        </a:prstGeom>
      </xdr:spPr>
    </xdr:pic>
    <xdr:clientData/>
  </xdr:twoCellAnchor>
  <xdr:twoCellAnchor editAs="oneCell">
    <xdr:from>
      <xdr:col>7</xdr:col>
      <xdr:colOff>47624</xdr:colOff>
      <xdr:row>53</xdr:row>
      <xdr:rowOff>11906</xdr:rowOff>
    </xdr:from>
    <xdr:to>
      <xdr:col>7</xdr:col>
      <xdr:colOff>190499</xdr:colOff>
      <xdr:row>53</xdr:row>
      <xdr:rowOff>154781</xdr:rowOff>
    </xdr:to>
    <xdr:pic>
      <xdr:nvPicPr>
        <xdr:cNvPr id="82" name="Picture 81"/>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4095749" y="8120062"/>
          <a:ext cx="142875" cy="142875"/>
        </a:xfrm>
        <a:prstGeom prst="rect">
          <a:avLst/>
        </a:prstGeom>
      </xdr:spPr>
    </xdr:pic>
    <xdr:clientData/>
  </xdr:twoCellAnchor>
  <xdr:twoCellAnchor editAs="oneCell">
    <xdr:from>
      <xdr:col>7</xdr:col>
      <xdr:colOff>47626</xdr:colOff>
      <xdr:row>24</xdr:row>
      <xdr:rowOff>11907</xdr:rowOff>
    </xdr:from>
    <xdr:to>
      <xdr:col>7</xdr:col>
      <xdr:colOff>196454</xdr:colOff>
      <xdr:row>25</xdr:row>
      <xdr:rowOff>1</xdr:rowOff>
    </xdr:to>
    <xdr:pic>
      <xdr:nvPicPr>
        <xdr:cNvPr id="23813" name="Picture 23812"/>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tretch>
          <a:fillRect/>
        </a:stretch>
      </xdr:blipFill>
      <xdr:spPr>
        <a:xfrm>
          <a:off x="4095751" y="3458766"/>
          <a:ext cx="148828" cy="148828"/>
        </a:xfrm>
        <a:prstGeom prst="rect">
          <a:avLst/>
        </a:prstGeom>
      </xdr:spPr>
    </xdr:pic>
    <xdr:clientData/>
  </xdr:twoCellAnchor>
  <xdr:twoCellAnchor editAs="oneCell">
    <xdr:from>
      <xdr:col>4</xdr:col>
      <xdr:colOff>1303735</xdr:colOff>
      <xdr:row>40</xdr:row>
      <xdr:rowOff>11907</xdr:rowOff>
    </xdr:from>
    <xdr:to>
      <xdr:col>4</xdr:col>
      <xdr:colOff>1452563</xdr:colOff>
      <xdr:row>41</xdr:row>
      <xdr:rowOff>1</xdr:rowOff>
    </xdr:to>
    <xdr:pic>
      <xdr:nvPicPr>
        <xdr:cNvPr id="84" name="Picture 83"/>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tretch>
          <a:fillRect/>
        </a:stretch>
      </xdr:blipFill>
      <xdr:spPr>
        <a:xfrm>
          <a:off x="3274219" y="6030516"/>
          <a:ext cx="148828" cy="148828"/>
        </a:xfrm>
        <a:prstGeom prst="rect">
          <a:avLst/>
        </a:prstGeom>
      </xdr:spPr>
    </xdr:pic>
    <xdr:clientData/>
  </xdr:twoCellAnchor>
  <xdr:twoCellAnchor editAs="oneCell">
    <xdr:from>
      <xdr:col>4</xdr:col>
      <xdr:colOff>1309688</xdr:colOff>
      <xdr:row>52</xdr:row>
      <xdr:rowOff>11907</xdr:rowOff>
    </xdr:from>
    <xdr:to>
      <xdr:col>4</xdr:col>
      <xdr:colOff>1458516</xdr:colOff>
      <xdr:row>53</xdr:row>
      <xdr:rowOff>5328</xdr:rowOff>
    </xdr:to>
    <xdr:pic>
      <xdr:nvPicPr>
        <xdr:cNvPr id="85" name="Picture 84"/>
        <xdr:cNvPicPr>
          <a:picLocks noChangeAspect="1"/>
        </xdr:cNvPicPr>
      </xdr:nvPicPr>
      <xdr:blipFill>
        <a:blip xmlns:r="http://schemas.openxmlformats.org/officeDocument/2006/relationships" r:embed="rId45" cstate="print">
          <a:extLst>
            <a:ext uri="{28A0092B-C50C-407E-A947-70E740481C1C}">
              <a14:useLocalDpi xmlns:a14="http://schemas.microsoft.com/office/drawing/2010/main" val="0"/>
            </a:ext>
          </a:extLst>
        </a:blip>
        <a:stretch>
          <a:fillRect/>
        </a:stretch>
      </xdr:blipFill>
      <xdr:spPr>
        <a:xfrm>
          <a:off x="3280172" y="7959329"/>
          <a:ext cx="148828" cy="148828"/>
        </a:xfrm>
        <a:prstGeom prst="rect">
          <a:avLst/>
        </a:prstGeom>
      </xdr:spPr>
    </xdr:pic>
    <xdr:clientData/>
  </xdr:twoCellAnchor>
  <xdr:twoCellAnchor editAs="oneCell">
    <xdr:from>
      <xdr:col>4</xdr:col>
      <xdr:colOff>1297781</xdr:colOff>
      <xdr:row>25</xdr:row>
      <xdr:rowOff>11907</xdr:rowOff>
    </xdr:from>
    <xdr:to>
      <xdr:col>4</xdr:col>
      <xdr:colOff>1440656</xdr:colOff>
      <xdr:row>25</xdr:row>
      <xdr:rowOff>154782</xdr:rowOff>
    </xdr:to>
    <xdr:pic>
      <xdr:nvPicPr>
        <xdr:cNvPr id="23814" name="Picture 23813"/>
        <xdr:cNvPicPr>
          <a:picLocks noChangeAspect="1"/>
        </xdr:cNvPicPr>
      </xdr:nvPicPr>
      <xdr:blipFill>
        <a:blip xmlns:r="http://schemas.openxmlformats.org/officeDocument/2006/relationships" r:embed="rId46" cstate="print">
          <a:extLst>
            <a:ext uri="{28A0092B-C50C-407E-A947-70E740481C1C}">
              <a14:useLocalDpi xmlns:a14="http://schemas.microsoft.com/office/drawing/2010/main" val="0"/>
            </a:ext>
          </a:extLst>
        </a:blip>
        <a:stretch>
          <a:fillRect/>
        </a:stretch>
      </xdr:blipFill>
      <xdr:spPr>
        <a:xfrm>
          <a:off x="3268265" y="3619501"/>
          <a:ext cx="142875" cy="142875"/>
        </a:xfrm>
        <a:prstGeom prst="rect">
          <a:avLst/>
        </a:prstGeom>
      </xdr:spPr>
    </xdr:pic>
    <xdr:clientData/>
  </xdr:twoCellAnchor>
  <xdr:twoCellAnchor editAs="oneCell">
    <xdr:from>
      <xdr:col>7</xdr:col>
      <xdr:colOff>47624</xdr:colOff>
      <xdr:row>39</xdr:row>
      <xdr:rowOff>11906</xdr:rowOff>
    </xdr:from>
    <xdr:to>
      <xdr:col>7</xdr:col>
      <xdr:colOff>190499</xdr:colOff>
      <xdr:row>39</xdr:row>
      <xdr:rowOff>154781</xdr:rowOff>
    </xdr:to>
    <xdr:pic>
      <xdr:nvPicPr>
        <xdr:cNvPr id="87" name="Picture 86"/>
        <xdr:cNvPicPr>
          <a:picLocks noChangeAspect="1"/>
        </xdr:cNvPicPr>
      </xdr:nvPicPr>
      <xdr:blipFill>
        <a:blip xmlns:r="http://schemas.openxmlformats.org/officeDocument/2006/relationships" r:embed="rId46" cstate="print">
          <a:extLst>
            <a:ext uri="{28A0092B-C50C-407E-A947-70E740481C1C}">
              <a14:useLocalDpi xmlns:a14="http://schemas.microsoft.com/office/drawing/2010/main" val="0"/>
            </a:ext>
          </a:extLst>
        </a:blip>
        <a:stretch>
          <a:fillRect/>
        </a:stretch>
      </xdr:blipFill>
      <xdr:spPr>
        <a:xfrm>
          <a:off x="4095749" y="5869781"/>
          <a:ext cx="142875" cy="142875"/>
        </a:xfrm>
        <a:prstGeom prst="rect">
          <a:avLst/>
        </a:prstGeom>
      </xdr:spPr>
    </xdr:pic>
    <xdr:clientData/>
  </xdr:twoCellAnchor>
  <xdr:twoCellAnchor editAs="oneCell">
    <xdr:from>
      <xdr:col>7</xdr:col>
      <xdr:colOff>47624</xdr:colOff>
      <xdr:row>57</xdr:row>
      <xdr:rowOff>11906</xdr:rowOff>
    </xdr:from>
    <xdr:to>
      <xdr:col>7</xdr:col>
      <xdr:colOff>190499</xdr:colOff>
      <xdr:row>57</xdr:row>
      <xdr:rowOff>154781</xdr:rowOff>
    </xdr:to>
    <xdr:pic>
      <xdr:nvPicPr>
        <xdr:cNvPr id="88" name="Picture 87"/>
        <xdr:cNvPicPr>
          <a:picLocks noChangeAspect="1"/>
        </xdr:cNvPicPr>
      </xdr:nvPicPr>
      <xdr:blipFill>
        <a:blip xmlns:r="http://schemas.openxmlformats.org/officeDocument/2006/relationships" r:embed="rId46" cstate="print">
          <a:extLst>
            <a:ext uri="{28A0092B-C50C-407E-A947-70E740481C1C}">
              <a14:useLocalDpi xmlns:a14="http://schemas.microsoft.com/office/drawing/2010/main" val="0"/>
            </a:ext>
          </a:extLst>
        </a:blip>
        <a:stretch>
          <a:fillRect/>
        </a:stretch>
      </xdr:blipFill>
      <xdr:spPr>
        <a:xfrm>
          <a:off x="4095749" y="8763000"/>
          <a:ext cx="142875" cy="142875"/>
        </a:xfrm>
        <a:prstGeom prst="rect">
          <a:avLst/>
        </a:prstGeom>
      </xdr:spPr>
    </xdr:pic>
    <xdr:clientData/>
  </xdr:twoCellAnchor>
  <xdr:twoCellAnchor editAs="oneCell">
    <xdr:from>
      <xdr:col>7</xdr:col>
      <xdr:colOff>41671</xdr:colOff>
      <xdr:row>25</xdr:row>
      <xdr:rowOff>11906</xdr:rowOff>
    </xdr:from>
    <xdr:to>
      <xdr:col>7</xdr:col>
      <xdr:colOff>184546</xdr:colOff>
      <xdr:row>25</xdr:row>
      <xdr:rowOff>154781</xdr:rowOff>
    </xdr:to>
    <xdr:pic>
      <xdr:nvPicPr>
        <xdr:cNvPr id="23815" name="Picture 23814"/>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tretch>
          <a:fillRect/>
        </a:stretch>
      </xdr:blipFill>
      <xdr:spPr>
        <a:xfrm>
          <a:off x="4089796" y="3619500"/>
          <a:ext cx="142875" cy="142875"/>
        </a:xfrm>
        <a:prstGeom prst="rect">
          <a:avLst/>
        </a:prstGeom>
      </xdr:spPr>
    </xdr:pic>
    <xdr:clientData/>
  </xdr:twoCellAnchor>
  <xdr:twoCellAnchor editAs="oneCell">
    <xdr:from>
      <xdr:col>4</xdr:col>
      <xdr:colOff>1303735</xdr:colOff>
      <xdr:row>42</xdr:row>
      <xdr:rowOff>11907</xdr:rowOff>
    </xdr:from>
    <xdr:to>
      <xdr:col>4</xdr:col>
      <xdr:colOff>1446610</xdr:colOff>
      <xdr:row>42</xdr:row>
      <xdr:rowOff>154782</xdr:rowOff>
    </xdr:to>
    <xdr:pic>
      <xdr:nvPicPr>
        <xdr:cNvPr id="90" name="Picture 89"/>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tretch>
          <a:fillRect/>
        </a:stretch>
      </xdr:blipFill>
      <xdr:spPr>
        <a:xfrm>
          <a:off x="3274219" y="6351985"/>
          <a:ext cx="142875" cy="142875"/>
        </a:xfrm>
        <a:prstGeom prst="rect">
          <a:avLst/>
        </a:prstGeom>
      </xdr:spPr>
    </xdr:pic>
    <xdr:clientData/>
  </xdr:twoCellAnchor>
  <xdr:twoCellAnchor editAs="oneCell">
    <xdr:from>
      <xdr:col>4</xdr:col>
      <xdr:colOff>1303734</xdr:colOff>
      <xdr:row>56</xdr:row>
      <xdr:rowOff>11906</xdr:rowOff>
    </xdr:from>
    <xdr:to>
      <xdr:col>4</xdr:col>
      <xdr:colOff>1446609</xdr:colOff>
      <xdr:row>56</xdr:row>
      <xdr:rowOff>154781</xdr:rowOff>
    </xdr:to>
    <xdr:pic>
      <xdr:nvPicPr>
        <xdr:cNvPr id="91" name="Picture 90"/>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tretch>
          <a:fillRect/>
        </a:stretch>
      </xdr:blipFill>
      <xdr:spPr>
        <a:xfrm>
          <a:off x="3274218" y="8602265"/>
          <a:ext cx="142875" cy="142875"/>
        </a:xfrm>
        <a:prstGeom prst="rect">
          <a:avLst/>
        </a:prstGeom>
      </xdr:spPr>
    </xdr:pic>
    <xdr:clientData/>
  </xdr:twoCellAnchor>
  <xdr:twoCellAnchor editAs="oneCell">
    <xdr:from>
      <xdr:col>4</xdr:col>
      <xdr:colOff>1297781</xdr:colOff>
      <xdr:row>26</xdr:row>
      <xdr:rowOff>17860</xdr:rowOff>
    </xdr:from>
    <xdr:to>
      <xdr:col>4</xdr:col>
      <xdr:colOff>1440656</xdr:colOff>
      <xdr:row>27</xdr:row>
      <xdr:rowOff>2442</xdr:rowOff>
    </xdr:to>
    <xdr:pic>
      <xdr:nvPicPr>
        <xdr:cNvPr id="23816" name="Picture 23815"/>
        <xdr:cNvPicPr>
          <a:picLocks noChangeAspect="1"/>
        </xdr:cNvPicPr>
      </xdr:nvPicPr>
      <xdr:blipFill>
        <a:blip xmlns:r="http://schemas.openxmlformats.org/officeDocument/2006/relationships" r:embed="rId48" cstate="print">
          <a:extLst>
            <a:ext uri="{28A0092B-C50C-407E-A947-70E740481C1C}">
              <a14:useLocalDpi xmlns:a14="http://schemas.microsoft.com/office/drawing/2010/main" val="0"/>
            </a:ext>
          </a:extLst>
        </a:blip>
        <a:stretch>
          <a:fillRect/>
        </a:stretch>
      </xdr:blipFill>
      <xdr:spPr>
        <a:xfrm>
          <a:off x="3268265" y="3786188"/>
          <a:ext cx="142875" cy="142875"/>
        </a:xfrm>
        <a:prstGeom prst="rect">
          <a:avLst/>
        </a:prstGeom>
      </xdr:spPr>
    </xdr:pic>
    <xdr:clientData/>
  </xdr:twoCellAnchor>
  <xdr:twoCellAnchor editAs="oneCell">
    <xdr:from>
      <xdr:col>4</xdr:col>
      <xdr:colOff>1303734</xdr:colOff>
      <xdr:row>43</xdr:row>
      <xdr:rowOff>17859</xdr:rowOff>
    </xdr:from>
    <xdr:to>
      <xdr:col>4</xdr:col>
      <xdr:colOff>1446609</xdr:colOff>
      <xdr:row>44</xdr:row>
      <xdr:rowOff>1</xdr:rowOff>
    </xdr:to>
    <xdr:pic>
      <xdr:nvPicPr>
        <xdr:cNvPr id="93" name="Picture 92"/>
        <xdr:cNvPicPr>
          <a:picLocks noChangeAspect="1"/>
        </xdr:cNvPicPr>
      </xdr:nvPicPr>
      <xdr:blipFill>
        <a:blip xmlns:r="http://schemas.openxmlformats.org/officeDocument/2006/relationships" r:embed="rId48" cstate="print">
          <a:extLst>
            <a:ext uri="{28A0092B-C50C-407E-A947-70E740481C1C}">
              <a14:useLocalDpi xmlns:a14="http://schemas.microsoft.com/office/drawing/2010/main" val="0"/>
            </a:ext>
          </a:extLst>
        </a:blip>
        <a:stretch>
          <a:fillRect/>
        </a:stretch>
      </xdr:blipFill>
      <xdr:spPr>
        <a:xfrm>
          <a:off x="3274218" y="6518672"/>
          <a:ext cx="142875" cy="142875"/>
        </a:xfrm>
        <a:prstGeom prst="rect">
          <a:avLst/>
        </a:prstGeom>
      </xdr:spPr>
    </xdr:pic>
    <xdr:clientData/>
  </xdr:twoCellAnchor>
  <xdr:twoCellAnchor editAs="oneCell">
    <xdr:from>
      <xdr:col>7</xdr:col>
      <xdr:colOff>41671</xdr:colOff>
      <xdr:row>58</xdr:row>
      <xdr:rowOff>11906</xdr:rowOff>
    </xdr:from>
    <xdr:to>
      <xdr:col>7</xdr:col>
      <xdr:colOff>184546</xdr:colOff>
      <xdr:row>58</xdr:row>
      <xdr:rowOff>154781</xdr:rowOff>
    </xdr:to>
    <xdr:pic>
      <xdr:nvPicPr>
        <xdr:cNvPr id="94" name="Picture 93"/>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Lst>
        </a:blip>
        <a:stretch>
          <a:fillRect/>
        </a:stretch>
      </xdr:blipFill>
      <xdr:spPr>
        <a:xfrm>
          <a:off x="4089796" y="8923734"/>
          <a:ext cx="142875" cy="142875"/>
        </a:xfrm>
        <a:prstGeom prst="rect">
          <a:avLst/>
        </a:prstGeom>
      </xdr:spPr>
    </xdr:pic>
    <xdr:clientData/>
  </xdr:twoCellAnchor>
  <xdr:twoCellAnchor editAs="oneCell">
    <xdr:from>
      <xdr:col>7</xdr:col>
      <xdr:colOff>47624</xdr:colOff>
      <xdr:row>26</xdr:row>
      <xdr:rowOff>11906</xdr:rowOff>
    </xdr:from>
    <xdr:to>
      <xdr:col>7</xdr:col>
      <xdr:colOff>196452</xdr:colOff>
      <xdr:row>27</xdr:row>
      <xdr:rowOff>1984</xdr:rowOff>
    </xdr:to>
    <xdr:pic>
      <xdr:nvPicPr>
        <xdr:cNvPr id="23817" name="Picture 23816"/>
        <xdr:cNvPicPr>
          <a:picLocks noChangeAspect="1"/>
        </xdr:cNvPicPr>
      </xdr:nvPicPr>
      <xdr:blipFill>
        <a:blip xmlns:r="http://schemas.openxmlformats.org/officeDocument/2006/relationships" r:embed="rId50" cstate="print">
          <a:extLst>
            <a:ext uri="{28A0092B-C50C-407E-A947-70E740481C1C}">
              <a14:useLocalDpi xmlns:a14="http://schemas.microsoft.com/office/drawing/2010/main" val="0"/>
            </a:ext>
          </a:extLst>
        </a:blip>
        <a:stretch>
          <a:fillRect/>
        </a:stretch>
      </xdr:blipFill>
      <xdr:spPr>
        <a:xfrm>
          <a:off x="4095749" y="3780234"/>
          <a:ext cx="148828" cy="148828"/>
        </a:xfrm>
        <a:prstGeom prst="rect">
          <a:avLst/>
        </a:prstGeom>
      </xdr:spPr>
    </xdr:pic>
    <xdr:clientData/>
  </xdr:twoCellAnchor>
  <xdr:twoCellAnchor editAs="oneCell">
    <xdr:from>
      <xdr:col>7</xdr:col>
      <xdr:colOff>47624</xdr:colOff>
      <xdr:row>41</xdr:row>
      <xdr:rowOff>5953</xdr:rowOff>
    </xdr:from>
    <xdr:to>
      <xdr:col>7</xdr:col>
      <xdr:colOff>196452</xdr:colOff>
      <xdr:row>41</xdr:row>
      <xdr:rowOff>154781</xdr:rowOff>
    </xdr:to>
    <xdr:pic>
      <xdr:nvPicPr>
        <xdr:cNvPr id="96" name="Picture 95"/>
        <xdr:cNvPicPr>
          <a:picLocks noChangeAspect="1"/>
        </xdr:cNvPicPr>
      </xdr:nvPicPr>
      <xdr:blipFill>
        <a:blip xmlns:r="http://schemas.openxmlformats.org/officeDocument/2006/relationships" r:embed="rId51" cstate="print">
          <a:extLst>
            <a:ext uri="{28A0092B-C50C-407E-A947-70E740481C1C}">
              <a14:useLocalDpi xmlns:a14="http://schemas.microsoft.com/office/drawing/2010/main" val="0"/>
            </a:ext>
          </a:extLst>
        </a:blip>
        <a:stretch>
          <a:fillRect/>
        </a:stretch>
      </xdr:blipFill>
      <xdr:spPr>
        <a:xfrm>
          <a:off x="4095749" y="6185297"/>
          <a:ext cx="148828" cy="148828"/>
        </a:xfrm>
        <a:prstGeom prst="rect">
          <a:avLst/>
        </a:prstGeom>
      </xdr:spPr>
    </xdr:pic>
    <xdr:clientData/>
  </xdr:twoCellAnchor>
  <xdr:twoCellAnchor editAs="oneCell">
    <xdr:from>
      <xdr:col>4</xdr:col>
      <xdr:colOff>1309688</xdr:colOff>
      <xdr:row>59</xdr:row>
      <xdr:rowOff>11906</xdr:rowOff>
    </xdr:from>
    <xdr:to>
      <xdr:col>4</xdr:col>
      <xdr:colOff>1458516</xdr:colOff>
      <xdr:row>60</xdr:row>
      <xdr:rowOff>0</xdr:rowOff>
    </xdr:to>
    <xdr:pic>
      <xdr:nvPicPr>
        <xdr:cNvPr id="97" name="Picture 96"/>
        <xdr:cNvPicPr>
          <a:picLocks noChangeAspect="1"/>
        </xdr:cNvPicPr>
      </xdr:nvPicPr>
      <xdr:blipFill>
        <a:blip xmlns:r="http://schemas.openxmlformats.org/officeDocument/2006/relationships" r:embed="rId52" cstate="print">
          <a:extLst>
            <a:ext uri="{28A0092B-C50C-407E-A947-70E740481C1C}">
              <a14:useLocalDpi xmlns:a14="http://schemas.microsoft.com/office/drawing/2010/main" val="0"/>
            </a:ext>
          </a:extLst>
        </a:blip>
        <a:stretch>
          <a:fillRect/>
        </a:stretch>
      </xdr:blipFill>
      <xdr:spPr>
        <a:xfrm>
          <a:off x="3280172" y="9084469"/>
          <a:ext cx="148828" cy="148828"/>
        </a:xfrm>
        <a:prstGeom prst="rect">
          <a:avLst/>
        </a:prstGeom>
      </xdr:spPr>
    </xdr:pic>
    <xdr:clientData/>
  </xdr:twoCellAnchor>
  <xdr:twoCellAnchor editAs="oneCell">
    <xdr:from>
      <xdr:col>4</xdr:col>
      <xdr:colOff>1309687</xdr:colOff>
      <xdr:row>28</xdr:row>
      <xdr:rowOff>11907</xdr:rowOff>
    </xdr:from>
    <xdr:to>
      <xdr:col>4</xdr:col>
      <xdr:colOff>1452562</xdr:colOff>
      <xdr:row>28</xdr:row>
      <xdr:rowOff>154782</xdr:rowOff>
    </xdr:to>
    <xdr:pic>
      <xdr:nvPicPr>
        <xdr:cNvPr id="23818" name="Picture 23817"/>
        <xdr:cNvPicPr>
          <a:picLocks noChangeAspect="1"/>
        </xdr:cNvPicPr>
      </xdr:nvPicPr>
      <xdr:blipFill>
        <a:blip xmlns:r="http://schemas.openxmlformats.org/officeDocument/2006/relationships" r:embed="rId53" cstate="print">
          <a:extLst>
            <a:ext uri="{28A0092B-C50C-407E-A947-70E740481C1C}">
              <a14:useLocalDpi xmlns:a14="http://schemas.microsoft.com/office/drawing/2010/main" val="0"/>
            </a:ext>
          </a:extLst>
        </a:blip>
        <a:stretch>
          <a:fillRect/>
        </a:stretch>
      </xdr:blipFill>
      <xdr:spPr>
        <a:xfrm>
          <a:off x="3280171" y="4101704"/>
          <a:ext cx="142875" cy="142875"/>
        </a:xfrm>
        <a:prstGeom prst="rect">
          <a:avLst/>
        </a:prstGeom>
      </xdr:spPr>
    </xdr:pic>
    <xdr:clientData/>
  </xdr:twoCellAnchor>
  <xdr:twoCellAnchor editAs="oneCell">
    <xdr:from>
      <xdr:col>7</xdr:col>
      <xdr:colOff>47624</xdr:colOff>
      <xdr:row>43</xdr:row>
      <xdr:rowOff>11906</xdr:rowOff>
    </xdr:from>
    <xdr:to>
      <xdr:col>7</xdr:col>
      <xdr:colOff>190499</xdr:colOff>
      <xdr:row>43</xdr:row>
      <xdr:rowOff>154781</xdr:rowOff>
    </xdr:to>
    <xdr:pic>
      <xdr:nvPicPr>
        <xdr:cNvPr id="99" name="Picture 98"/>
        <xdr:cNvPicPr>
          <a:picLocks noChangeAspect="1"/>
        </xdr:cNvPicPr>
      </xdr:nvPicPr>
      <xdr:blipFill>
        <a:blip xmlns:r="http://schemas.openxmlformats.org/officeDocument/2006/relationships" r:embed="rId53" cstate="print">
          <a:extLst>
            <a:ext uri="{28A0092B-C50C-407E-A947-70E740481C1C}">
              <a14:useLocalDpi xmlns:a14="http://schemas.microsoft.com/office/drawing/2010/main" val="0"/>
            </a:ext>
          </a:extLst>
        </a:blip>
        <a:stretch>
          <a:fillRect/>
        </a:stretch>
      </xdr:blipFill>
      <xdr:spPr>
        <a:xfrm>
          <a:off x="4095749" y="6512719"/>
          <a:ext cx="142875" cy="142875"/>
        </a:xfrm>
        <a:prstGeom prst="rect">
          <a:avLst/>
        </a:prstGeom>
      </xdr:spPr>
    </xdr:pic>
    <xdr:clientData/>
  </xdr:twoCellAnchor>
  <xdr:twoCellAnchor editAs="oneCell">
    <xdr:from>
      <xdr:col>7</xdr:col>
      <xdr:colOff>41671</xdr:colOff>
      <xdr:row>59</xdr:row>
      <xdr:rowOff>11906</xdr:rowOff>
    </xdr:from>
    <xdr:to>
      <xdr:col>7</xdr:col>
      <xdr:colOff>184546</xdr:colOff>
      <xdr:row>59</xdr:row>
      <xdr:rowOff>154781</xdr:rowOff>
    </xdr:to>
    <xdr:pic>
      <xdr:nvPicPr>
        <xdr:cNvPr id="100" name="Picture 99"/>
        <xdr:cNvPicPr>
          <a:picLocks noChangeAspect="1"/>
        </xdr:cNvPicPr>
      </xdr:nvPicPr>
      <xdr:blipFill>
        <a:blip xmlns:r="http://schemas.openxmlformats.org/officeDocument/2006/relationships" r:embed="rId53" cstate="print">
          <a:extLst>
            <a:ext uri="{28A0092B-C50C-407E-A947-70E740481C1C}">
              <a14:useLocalDpi xmlns:a14="http://schemas.microsoft.com/office/drawing/2010/main" val="0"/>
            </a:ext>
          </a:extLst>
        </a:blip>
        <a:stretch>
          <a:fillRect/>
        </a:stretch>
      </xdr:blipFill>
      <xdr:spPr>
        <a:xfrm>
          <a:off x="4089796" y="9084469"/>
          <a:ext cx="142875" cy="142875"/>
        </a:xfrm>
        <a:prstGeom prst="rect">
          <a:avLst/>
        </a:prstGeom>
      </xdr:spPr>
    </xdr:pic>
    <xdr:clientData/>
  </xdr:twoCellAnchor>
  <xdr:twoCellAnchor editAs="oneCell">
    <xdr:from>
      <xdr:col>7</xdr:col>
      <xdr:colOff>47624</xdr:colOff>
      <xdr:row>28</xdr:row>
      <xdr:rowOff>11906</xdr:rowOff>
    </xdr:from>
    <xdr:to>
      <xdr:col>7</xdr:col>
      <xdr:colOff>190499</xdr:colOff>
      <xdr:row>28</xdr:row>
      <xdr:rowOff>154781</xdr:rowOff>
    </xdr:to>
    <xdr:pic>
      <xdr:nvPicPr>
        <xdr:cNvPr id="23819" name="Picture 23818"/>
        <xdr:cNvPicPr>
          <a:picLocks noChangeAspect="1"/>
        </xdr:cNvPicPr>
      </xdr:nvPicPr>
      <xdr:blipFill>
        <a:blip xmlns:r="http://schemas.openxmlformats.org/officeDocument/2006/relationships" r:embed="rId54" cstate="print">
          <a:extLst>
            <a:ext uri="{28A0092B-C50C-407E-A947-70E740481C1C}">
              <a14:useLocalDpi xmlns:a14="http://schemas.microsoft.com/office/drawing/2010/main" val="0"/>
            </a:ext>
          </a:extLst>
        </a:blip>
        <a:stretch>
          <a:fillRect/>
        </a:stretch>
      </xdr:blipFill>
      <xdr:spPr>
        <a:xfrm>
          <a:off x="4095749" y="4101703"/>
          <a:ext cx="142875" cy="142875"/>
        </a:xfrm>
        <a:prstGeom prst="rect">
          <a:avLst/>
        </a:prstGeom>
      </xdr:spPr>
    </xdr:pic>
    <xdr:clientData/>
  </xdr:twoCellAnchor>
  <xdr:twoCellAnchor editAs="oneCell">
    <xdr:from>
      <xdr:col>4</xdr:col>
      <xdr:colOff>1303734</xdr:colOff>
      <xdr:row>41</xdr:row>
      <xdr:rowOff>11906</xdr:rowOff>
    </xdr:from>
    <xdr:to>
      <xdr:col>4</xdr:col>
      <xdr:colOff>1446609</xdr:colOff>
      <xdr:row>41</xdr:row>
      <xdr:rowOff>154781</xdr:rowOff>
    </xdr:to>
    <xdr:pic>
      <xdr:nvPicPr>
        <xdr:cNvPr id="102" name="Picture 101"/>
        <xdr:cNvPicPr>
          <a:picLocks noChangeAspect="1"/>
        </xdr:cNvPicPr>
      </xdr:nvPicPr>
      <xdr:blipFill>
        <a:blip xmlns:r="http://schemas.openxmlformats.org/officeDocument/2006/relationships" r:embed="rId54" cstate="print">
          <a:extLst>
            <a:ext uri="{28A0092B-C50C-407E-A947-70E740481C1C}">
              <a14:useLocalDpi xmlns:a14="http://schemas.microsoft.com/office/drawing/2010/main" val="0"/>
            </a:ext>
          </a:extLst>
        </a:blip>
        <a:stretch>
          <a:fillRect/>
        </a:stretch>
      </xdr:blipFill>
      <xdr:spPr>
        <a:xfrm>
          <a:off x="3274218" y="6191250"/>
          <a:ext cx="142875" cy="142875"/>
        </a:xfrm>
        <a:prstGeom prst="rect">
          <a:avLst/>
        </a:prstGeom>
      </xdr:spPr>
    </xdr:pic>
    <xdr:clientData/>
  </xdr:twoCellAnchor>
  <xdr:twoCellAnchor editAs="oneCell">
    <xdr:from>
      <xdr:col>4</xdr:col>
      <xdr:colOff>1309687</xdr:colOff>
      <xdr:row>58</xdr:row>
      <xdr:rowOff>11907</xdr:rowOff>
    </xdr:from>
    <xdr:to>
      <xdr:col>4</xdr:col>
      <xdr:colOff>1452562</xdr:colOff>
      <xdr:row>58</xdr:row>
      <xdr:rowOff>154782</xdr:rowOff>
    </xdr:to>
    <xdr:pic>
      <xdr:nvPicPr>
        <xdr:cNvPr id="103" name="Picture 102"/>
        <xdr:cNvPicPr>
          <a:picLocks noChangeAspect="1"/>
        </xdr:cNvPicPr>
      </xdr:nvPicPr>
      <xdr:blipFill>
        <a:blip xmlns:r="http://schemas.openxmlformats.org/officeDocument/2006/relationships" r:embed="rId54" cstate="print">
          <a:extLst>
            <a:ext uri="{28A0092B-C50C-407E-A947-70E740481C1C}">
              <a14:useLocalDpi xmlns:a14="http://schemas.microsoft.com/office/drawing/2010/main" val="0"/>
            </a:ext>
          </a:extLst>
        </a:blip>
        <a:stretch>
          <a:fillRect/>
        </a:stretch>
      </xdr:blipFill>
      <xdr:spPr>
        <a:xfrm>
          <a:off x="3280171" y="8923735"/>
          <a:ext cx="142875" cy="142875"/>
        </a:xfrm>
        <a:prstGeom prst="rect">
          <a:avLst/>
        </a:prstGeom>
      </xdr:spPr>
    </xdr:pic>
    <xdr:clientData/>
  </xdr:twoCellAnchor>
  <xdr:twoCellAnchor editAs="oneCell">
    <xdr:from>
      <xdr:col>12</xdr:col>
      <xdr:colOff>161925</xdr:colOff>
      <xdr:row>75</xdr:row>
      <xdr:rowOff>133350</xdr:rowOff>
    </xdr:from>
    <xdr:to>
      <xdr:col>19</xdr:col>
      <xdr:colOff>34805</xdr:colOff>
      <xdr:row>94</xdr:row>
      <xdr:rowOff>38099</xdr:rowOff>
    </xdr:to>
    <xdr:pic>
      <xdr:nvPicPr>
        <xdr:cNvPr id="23821" name="Picture 23820"/>
        <xdr:cNvPicPr>
          <a:picLocks noChangeAspect="1"/>
        </xdr:cNvPicPr>
      </xdr:nvPicPr>
      <xdr:blipFill>
        <a:blip xmlns:r="http://schemas.openxmlformats.org/officeDocument/2006/relationships" r:embed="rId55">
          <a:extLst>
            <a:ext uri="{28A0092B-C50C-407E-A947-70E740481C1C}">
              <a14:useLocalDpi xmlns:a14="http://schemas.microsoft.com/office/drawing/2010/main" val="0"/>
            </a:ext>
          </a:extLst>
        </a:blip>
        <a:stretch>
          <a:fillRect/>
        </a:stretch>
      </xdr:blipFill>
      <xdr:spPr>
        <a:xfrm>
          <a:off x="7705725" y="13582650"/>
          <a:ext cx="3216155" cy="2981324"/>
        </a:xfrm>
        <a:prstGeom prst="rect">
          <a:avLst/>
        </a:prstGeom>
      </xdr:spPr>
    </xdr:pic>
    <xdr:clientData/>
  </xdr:twoCellAnchor>
  <xdr:twoCellAnchor>
    <xdr:from>
      <xdr:col>12</xdr:col>
      <xdr:colOff>0</xdr:colOff>
      <xdr:row>67</xdr:row>
      <xdr:rowOff>9526</xdr:rowOff>
    </xdr:from>
    <xdr:to>
      <xdr:col>12</xdr:col>
      <xdr:colOff>476250</xdr:colOff>
      <xdr:row>70</xdr:row>
      <xdr:rowOff>1</xdr:rowOff>
    </xdr:to>
    <xdr:pic>
      <xdr:nvPicPr>
        <xdr:cNvPr id="101" name="Рисунок 100" descr="xushnudbek"/>
        <xdr:cNvPicPr>
          <a:picLocks noChangeAspect="1" noChangeArrowheads="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7543800" y="12163426"/>
          <a:ext cx="476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xdr:colOff>
      <xdr:row>71</xdr:row>
      <xdr:rowOff>1</xdr:rowOff>
    </xdr:from>
    <xdr:to>
      <xdr:col>12</xdr:col>
      <xdr:colOff>504825</xdr:colOff>
      <xdr:row>74</xdr:row>
      <xdr:rowOff>19050</xdr:rowOff>
    </xdr:to>
    <xdr:pic>
      <xdr:nvPicPr>
        <xdr:cNvPr id="2" name="Рисунок 1"/>
        <xdr:cNvPicPr>
          <a:picLocks noChangeAspect="1"/>
        </xdr:cNvPicPr>
      </xdr:nvPicPr>
      <xdr:blipFill>
        <a:blip xmlns:r="http://schemas.openxmlformats.org/officeDocument/2006/relationships" r:embed="rId57" cstate="print">
          <a:extLst>
            <a:ext uri="{28A0092B-C50C-407E-A947-70E740481C1C}">
              <a14:useLocalDpi xmlns:a14="http://schemas.microsoft.com/office/drawing/2010/main" val="0"/>
            </a:ext>
          </a:extLst>
        </a:blip>
        <a:stretch>
          <a:fillRect/>
        </a:stretch>
      </xdr:blipFill>
      <xdr:spPr>
        <a:xfrm>
          <a:off x="7543801" y="12801601"/>
          <a:ext cx="504824"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1295400</xdr:colOff>
      <xdr:row>11</xdr:row>
      <xdr:rowOff>6350</xdr:rowOff>
    </xdr:from>
    <xdr:to>
      <xdr:col>4</xdr:col>
      <xdr:colOff>1447800</xdr:colOff>
      <xdr:row>12</xdr:row>
      <xdr:rowOff>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7075" y="1730375"/>
          <a:ext cx="152400" cy="155575"/>
        </a:xfrm>
        <a:prstGeom prst="rect">
          <a:avLst/>
        </a:prstGeom>
      </xdr:spPr>
    </xdr:pic>
    <xdr:clientData/>
  </xdr:twoCellAnchor>
  <xdr:twoCellAnchor editAs="oneCell">
    <xdr:from>
      <xdr:col>4</xdr:col>
      <xdr:colOff>1301750</xdr:colOff>
      <xdr:row>26</xdr:row>
      <xdr:rowOff>12700</xdr:rowOff>
    </xdr:from>
    <xdr:to>
      <xdr:col>4</xdr:col>
      <xdr:colOff>1454150</xdr:colOff>
      <xdr:row>27</xdr:row>
      <xdr:rowOff>1</xdr:rowOff>
    </xdr:to>
    <xdr:pic>
      <xdr:nvPicPr>
        <xdr:cNvPr id="3"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73425" y="4165600"/>
          <a:ext cx="152400" cy="149226"/>
        </a:xfrm>
        <a:prstGeom prst="rect">
          <a:avLst/>
        </a:prstGeom>
      </xdr:spPr>
    </xdr:pic>
    <xdr:clientData/>
  </xdr:twoCellAnchor>
  <xdr:twoCellAnchor editAs="oneCell">
    <xdr:from>
      <xdr:col>7</xdr:col>
      <xdr:colOff>53577</xdr:colOff>
      <xdr:row>45</xdr:row>
      <xdr:rowOff>11906</xdr:rowOff>
    </xdr:from>
    <xdr:to>
      <xdr:col>7</xdr:col>
      <xdr:colOff>205977</xdr:colOff>
      <xdr:row>46</xdr:row>
      <xdr:rowOff>1189</xdr:rowOff>
    </xdr:to>
    <xdr:pic>
      <xdr:nvPicPr>
        <xdr:cNvPr id="4"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35052" y="7241381"/>
          <a:ext cx="152400" cy="151209"/>
        </a:xfrm>
        <a:prstGeom prst="rect">
          <a:avLst/>
        </a:prstGeom>
      </xdr:spPr>
    </xdr:pic>
    <xdr:clientData/>
  </xdr:twoCellAnchor>
  <xdr:twoCellAnchor editAs="oneCell">
    <xdr:from>
      <xdr:col>7</xdr:col>
      <xdr:colOff>59531</xdr:colOff>
      <xdr:row>11</xdr:row>
      <xdr:rowOff>11906</xdr:rowOff>
    </xdr:from>
    <xdr:to>
      <xdr:col>7</xdr:col>
      <xdr:colOff>202408</xdr:colOff>
      <xdr:row>11</xdr:row>
      <xdr:rowOff>154783</xdr:rowOff>
    </xdr:to>
    <xdr:pic>
      <xdr:nvPicPr>
        <xdr:cNvPr id="5"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41006" y="1735931"/>
          <a:ext cx="142877" cy="142877"/>
        </a:xfrm>
        <a:prstGeom prst="rect">
          <a:avLst/>
        </a:prstGeom>
      </xdr:spPr>
    </xdr:pic>
    <xdr:clientData/>
  </xdr:twoCellAnchor>
  <xdr:twoCellAnchor editAs="oneCell">
    <xdr:from>
      <xdr:col>7</xdr:col>
      <xdr:colOff>65484</xdr:colOff>
      <xdr:row>29</xdr:row>
      <xdr:rowOff>11906</xdr:rowOff>
    </xdr:from>
    <xdr:to>
      <xdr:col>7</xdr:col>
      <xdr:colOff>208361</xdr:colOff>
      <xdr:row>29</xdr:row>
      <xdr:rowOff>154783</xdr:rowOff>
    </xdr:to>
    <xdr:pic>
      <xdr:nvPicPr>
        <xdr:cNvPr id="6" name="Picture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46959" y="4650581"/>
          <a:ext cx="142877" cy="142877"/>
        </a:xfrm>
        <a:prstGeom prst="rect">
          <a:avLst/>
        </a:prstGeom>
      </xdr:spPr>
    </xdr:pic>
    <xdr:clientData/>
  </xdr:twoCellAnchor>
  <xdr:twoCellAnchor editAs="oneCell">
    <xdr:from>
      <xdr:col>4</xdr:col>
      <xdr:colOff>1309688</xdr:colOff>
      <xdr:row>46</xdr:row>
      <xdr:rowOff>11907</xdr:rowOff>
    </xdr:from>
    <xdr:to>
      <xdr:col>4</xdr:col>
      <xdr:colOff>1452565</xdr:colOff>
      <xdr:row>46</xdr:row>
      <xdr:rowOff>154784</xdr:rowOff>
    </xdr:to>
    <xdr:pic>
      <xdr:nvPicPr>
        <xdr:cNvPr id="7" name="Picture 1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81363" y="7403307"/>
          <a:ext cx="142877" cy="142877"/>
        </a:xfrm>
        <a:prstGeom prst="rect">
          <a:avLst/>
        </a:prstGeom>
      </xdr:spPr>
    </xdr:pic>
    <xdr:clientData/>
  </xdr:twoCellAnchor>
  <xdr:twoCellAnchor editAs="oneCell">
    <xdr:from>
      <xdr:col>4</xdr:col>
      <xdr:colOff>1291828</xdr:colOff>
      <xdr:row>12</xdr:row>
      <xdr:rowOff>5953</xdr:rowOff>
    </xdr:from>
    <xdr:to>
      <xdr:col>4</xdr:col>
      <xdr:colOff>1440656</xdr:colOff>
      <xdr:row>12</xdr:row>
      <xdr:rowOff>154781</xdr:rowOff>
    </xdr:to>
    <xdr:pic>
      <xdr:nvPicPr>
        <xdr:cNvPr id="8" name="Picture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63503" y="1891903"/>
          <a:ext cx="148828" cy="148828"/>
        </a:xfrm>
        <a:prstGeom prst="rect">
          <a:avLst/>
        </a:prstGeom>
      </xdr:spPr>
    </xdr:pic>
    <xdr:clientData/>
  </xdr:twoCellAnchor>
  <xdr:twoCellAnchor editAs="oneCell">
    <xdr:from>
      <xdr:col>7</xdr:col>
      <xdr:colOff>53578</xdr:colOff>
      <xdr:row>26</xdr:row>
      <xdr:rowOff>5953</xdr:rowOff>
    </xdr:from>
    <xdr:to>
      <xdr:col>7</xdr:col>
      <xdr:colOff>202406</xdr:colOff>
      <xdr:row>26</xdr:row>
      <xdr:rowOff>154781</xdr:rowOff>
    </xdr:to>
    <xdr:pic>
      <xdr:nvPicPr>
        <xdr:cNvPr id="9" name="Picture 1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35053" y="4158853"/>
          <a:ext cx="148828" cy="148828"/>
        </a:xfrm>
        <a:prstGeom prst="rect">
          <a:avLst/>
        </a:prstGeom>
      </xdr:spPr>
    </xdr:pic>
    <xdr:clientData/>
  </xdr:twoCellAnchor>
  <xdr:twoCellAnchor editAs="oneCell">
    <xdr:from>
      <xdr:col>7</xdr:col>
      <xdr:colOff>53577</xdr:colOff>
      <xdr:row>46</xdr:row>
      <xdr:rowOff>11906</xdr:rowOff>
    </xdr:from>
    <xdr:to>
      <xdr:col>7</xdr:col>
      <xdr:colOff>202405</xdr:colOff>
      <xdr:row>47</xdr:row>
      <xdr:rowOff>1984</xdr:rowOff>
    </xdr:to>
    <xdr:pic>
      <xdr:nvPicPr>
        <xdr:cNvPr id="10" name="Picture 1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35052" y="7403306"/>
          <a:ext cx="148828" cy="152003"/>
        </a:xfrm>
        <a:prstGeom prst="rect">
          <a:avLst/>
        </a:prstGeom>
      </xdr:spPr>
    </xdr:pic>
    <xdr:clientData/>
  </xdr:twoCellAnchor>
  <xdr:twoCellAnchor editAs="oneCell">
    <xdr:from>
      <xdr:col>7</xdr:col>
      <xdr:colOff>53577</xdr:colOff>
      <xdr:row>12</xdr:row>
      <xdr:rowOff>11906</xdr:rowOff>
    </xdr:from>
    <xdr:to>
      <xdr:col>7</xdr:col>
      <xdr:colOff>202405</xdr:colOff>
      <xdr:row>13</xdr:row>
      <xdr:rowOff>1984</xdr:rowOff>
    </xdr:to>
    <xdr:pic>
      <xdr:nvPicPr>
        <xdr:cNvPr id="11" name="Picture 13"/>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235052" y="1897856"/>
          <a:ext cx="148828" cy="152003"/>
        </a:xfrm>
        <a:prstGeom prst="rect">
          <a:avLst/>
        </a:prstGeom>
      </xdr:spPr>
    </xdr:pic>
    <xdr:clientData/>
  </xdr:twoCellAnchor>
  <xdr:twoCellAnchor editAs="oneCell">
    <xdr:from>
      <xdr:col>4</xdr:col>
      <xdr:colOff>1303735</xdr:colOff>
      <xdr:row>29</xdr:row>
      <xdr:rowOff>5953</xdr:rowOff>
    </xdr:from>
    <xdr:to>
      <xdr:col>4</xdr:col>
      <xdr:colOff>1452563</xdr:colOff>
      <xdr:row>29</xdr:row>
      <xdr:rowOff>154781</xdr:rowOff>
    </xdr:to>
    <xdr:pic>
      <xdr:nvPicPr>
        <xdr:cNvPr id="12" name="Picture 1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275410" y="4644628"/>
          <a:ext cx="148828" cy="148828"/>
        </a:xfrm>
        <a:prstGeom prst="rect">
          <a:avLst/>
        </a:prstGeom>
      </xdr:spPr>
    </xdr:pic>
    <xdr:clientData/>
  </xdr:twoCellAnchor>
  <xdr:twoCellAnchor editAs="oneCell">
    <xdr:from>
      <xdr:col>4</xdr:col>
      <xdr:colOff>1303735</xdr:colOff>
      <xdr:row>45</xdr:row>
      <xdr:rowOff>5953</xdr:rowOff>
    </xdr:from>
    <xdr:to>
      <xdr:col>4</xdr:col>
      <xdr:colOff>1452563</xdr:colOff>
      <xdr:row>45</xdr:row>
      <xdr:rowOff>154781</xdr:rowOff>
    </xdr:to>
    <xdr:pic>
      <xdr:nvPicPr>
        <xdr:cNvPr id="13" name="Picture 18"/>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275410" y="7235428"/>
          <a:ext cx="148828" cy="148828"/>
        </a:xfrm>
        <a:prstGeom prst="rect">
          <a:avLst/>
        </a:prstGeom>
      </xdr:spPr>
    </xdr:pic>
    <xdr:clientData/>
  </xdr:twoCellAnchor>
  <xdr:twoCellAnchor editAs="oneCell">
    <xdr:from>
      <xdr:col>4</xdr:col>
      <xdr:colOff>1297781</xdr:colOff>
      <xdr:row>13</xdr:row>
      <xdr:rowOff>5953</xdr:rowOff>
    </xdr:from>
    <xdr:to>
      <xdr:col>4</xdr:col>
      <xdr:colOff>1452563</xdr:colOff>
      <xdr:row>14</xdr:row>
      <xdr:rowOff>2</xdr:rowOff>
    </xdr:to>
    <xdr:pic>
      <xdr:nvPicPr>
        <xdr:cNvPr id="14" name="Picture 16"/>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269456" y="2053828"/>
          <a:ext cx="154782" cy="155974"/>
        </a:xfrm>
        <a:prstGeom prst="rect">
          <a:avLst/>
        </a:prstGeom>
      </xdr:spPr>
    </xdr:pic>
    <xdr:clientData/>
  </xdr:twoCellAnchor>
  <xdr:twoCellAnchor editAs="oneCell">
    <xdr:from>
      <xdr:col>4</xdr:col>
      <xdr:colOff>1297781</xdr:colOff>
      <xdr:row>30</xdr:row>
      <xdr:rowOff>5953</xdr:rowOff>
    </xdr:from>
    <xdr:to>
      <xdr:col>4</xdr:col>
      <xdr:colOff>1452563</xdr:colOff>
      <xdr:row>31</xdr:row>
      <xdr:rowOff>1</xdr:rowOff>
    </xdr:to>
    <xdr:pic>
      <xdr:nvPicPr>
        <xdr:cNvPr id="15" name="Picture 20"/>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269456" y="4806553"/>
          <a:ext cx="154782" cy="155973"/>
        </a:xfrm>
        <a:prstGeom prst="rect">
          <a:avLst/>
        </a:prstGeom>
      </xdr:spPr>
    </xdr:pic>
    <xdr:clientData/>
  </xdr:twoCellAnchor>
  <xdr:twoCellAnchor editAs="oneCell">
    <xdr:from>
      <xdr:col>7</xdr:col>
      <xdr:colOff>47624</xdr:colOff>
      <xdr:row>43</xdr:row>
      <xdr:rowOff>5953</xdr:rowOff>
    </xdr:from>
    <xdr:to>
      <xdr:col>7</xdr:col>
      <xdr:colOff>202406</xdr:colOff>
      <xdr:row>44</xdr:row>
      <xdr:rowOff>1</xdr:rowOff>
    </xdr:to>
    <xdr:pic>
      <xdr:nvPicPr>
        <xdr:cNvPr id="16" name="Picture 2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229099" y="6911578"/>
          <a:ext cx="154782" cy="155973"/>
        </a:xfrm>
        <a:prstGeom prst="rect">
          <a:avLst/>
        </a:prstGeom>
      </xdr:spPr>
    </xdr:pic>
    <xdr:clientData/>
  </xdr:twoCellAnchor>
  <xdr:twoCellAnchor editAs="oneCell">
    <xdr:from>
      <xdr:col>7</xdr:col>
      <xdr:colOff>53578</xdr:colOff>
      <xdr:row>13</xdr:row>
      <xdr:rowOff>11906</xdr:rowOff>
    </xdr:from>
    <xdr:to>
      <xdr:col>7</xdr:col>
      <xdr:colOff>202406</xdr:colOff>
      <xdr:row>14</xdr:row>
      <xdr:rowOff>1</xdr:rowOff>
    </xdr:to>
    <xdr:pic>
      <xdr:nvPicPr>
        <xdr:cNvPr id="17" name="Picture 1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235053" y="2059781"/>
          <a:ext cx="148828" cy="150020"/>
        </a:xfrm>
        <a:prstGeom prst="rect">
          <a:avLst/>
        </a:prstGeom>
      </xdr:spPr>
    </xdr:pic>
    <xdr:clientData/>
  </xdr:twoCellAnchor>
  <xdr:twoCellAnchor editAs="oneCell">
    <xdr:from>
      <xdr:col>7</xdr:col>
      <xdr:colOff>53578</xdr:colOff>
      <xdr:row>28</xdr:row>
      <xdr:rowOff>11906</xdr:rowOff>
    </xdr:from>
    <xdr:to>
      <xdr:col>7</xdr:col>
      <xdr:colOff>202406</xdr:colOff>
      <xdr:row>29</xdr:row>
      <xdr:rowOff>1983</xdr:rowOff>
    </xdr:to>
    <xdr:pic>
      <xdr:nvPicPr>
        <xdr:cNvPr id="18" name="Picture 23"/>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235053" y="4488656"/>
          <a:ext cx="148828" cy="152003"/>
        </a:xfrm>
        <a:prstGeom prst="rect">
          <a:avLst/>
        </a:prstGeom>
      </xdr:spPr>
    </xdr:pic>
    <xdr:clientData/>
  </xdr:twoCellAnchor>
  <xdr:twoCellAnchor editAs="oneCell">
    <xdr:from>
      <xdr:col>4</xdr:col>
      <xdr:colOff>1303707</xdr:colOff>
      <xdr:row>44</xdr:row>
      <xdr:rowOff>5953</xdr:rowOff>
    </xdr:from>
    <xdr:to>
      <xdr:col>4</xdr:col>
      <xdr:colOff>1452535</xdr:colOff>
      <xdr:row>44</xdr:row>
      <xdr:rowOff>154781</xdr:rowOff>
    </xdr:to>
    <xdr:pic>
      <xdr:nvPicPr>
        <xdr:cNvPr id="19" name="Picture 24"/>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275382" y="7073503"/>
          <a:ext cx="148828" cy="148828"/>
        </a:xfrm>
        <a:prstGeom prst="rect">
          <a:avLst/>
        </a:prstGeom>
      </xdr:spPr>
    </xdr:pic>
    <xdr:clientData/>
  </xdr:twoCellAnchor>
  <xdr:twoCellAnchor editAs="oneCell">
    <xdr:from>
      <xdr:col>4</xdr:col>
      <xdr:colOff>1297782</xdr:colOff>
      <xdr:row>14</xdr:row>
      <xdr:rowOff>5954</xdr:rowOff>
    </xdr:from>
    <xdr:to>
      <xdr:col>4</xdr:col>
      <xdr:colOff>1446610</xdr:colOff>
      <xdr:row>14</xdr:row>
      <xdr:rowOff>154782</xdr:rowOff>
    </xdr:to>
    <xdr:pic>
      <xdr:nvPicPr>
        <xdr:cNvPr id="20" name="Picture 22"/>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269457" y="2215754"/>
          <a:ext cx="148828" cy="148828"/>
        </a:xfrm>
        <a:prstGeom prst="rect">
          <a:avLst/>
        </a:prstGeom>
      </xdr:spPr>
    </xdr:pic>
    <xdr:clientData/>
  </xdr:twoCellAnchor>
  <xdr:twoCellAnchor editAs="oneCell">
    <xdr:from>
      <xdr:col>7</xdr:col>
      <xdr:colOff>59530</xdr:colOff>
      <xdr:row>30</xdr:row>
      <xdr:rowOff>5953</xdr:rowOff>
    </xdr:from>
    <xdr:to>
      <xdr:col>7</xdr:col>
      <xdr:colOff>208358</xdr:colOff>
      <xdr:row>30</xdr:row>
      <xdr:rowOff>154781</xdr:rowOff>
    </xdr:to>
    <xdr:pic>
      <xdr:nvPicPr>
        <xdr:cNvPr id="21" name="Picture 26"/>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241005" y="4806553"/>
          <a:ext cx="148828" cy="148828"/>
        </a:xfrm>
        <a:prstGeom prst="rect">
          <a:avLst/>
        </a:prstGeom>
      </xdr:spPr>
    </xdr:pic>
    <xdr:clientData/>
  </xdr:twoCellAnchor>
  <xdr:twoCellAnchor editAs="oneCell">
    <xdr:from>
      <xdr:col>7</xdr:col>
      <xdr:colOff>53577</xdr:colOff>
      <xdr:row>44</xdr:row>
      <xdr:rowOff>5953</xdr:rowOff>
    </xdr:from>
    <xdr:to>
      <xdr:col>7</xdr:col>
      <xdr:colOff>202405</xdr:colOff>
      <xdr:row>44</xdr:row>
      <xdr:rowOff>154781</xdr:rowOff>
    </xdr:to>
    <xdr:pic>
      <xdr:nvPicPr>
        <xdr:cNvPr id="22" name="Picture 27"/>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235052" y="7073503"/>
          <a:ext cx="148828" cy="148828"/>
        </a:xfrm>
        <a:prstGeom prst="rect">
          <a:avLst/>
        </a:prstGeom>
      </xdr:spPr>
    </xdr:pic>
    <xdr:clientData/>
  </xdr:twoCellAnchor>
  <xdr:twoCellAnchor editAs="oneCell">
    <xdr:from>
      <xdr:col>7</xdr:col>
      <xdr:colOff>53577</xdr:colOff>
      <xdr:row>14</xdr:row>
      <xdr:rowOff>11906</xdr:rowOff>
    </xdr:from>
    <xdr:to>
      <xdr:col>7</xdr:col>
      <xdr:colOff>196452</xdr:colOff>
      <xdr:row>14</xdr:row>
      <xdr:rowOff>154781</xdr:rowOff>
    </xdr:to>
    <xdr:pic>
      <xdr:nvPicPr>
        <xdr:cNvPr id="23" name="Picture 25"/>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235052" y="2221706"/>
          <a:ext cx="142875" cy="142875"/>
        </a:xfrm>
        <a:prstGeom prst="rect">
          <a:avLst/>
        </a:prstGeom>
      </xdr:spPr>
    </xdr:pic>
    <xdr:clientData/>
  </xdr:twoCellAnchor>
  <xdr:twoCellAnchor editAs="oneCell">
    <xdr:from>
      <xdr:col>4</xdr:col>
      <xdr:colOff>1309688</xdr:colOff>
      <xdr:row>28</xdr:row>
      <xdr:rowOff>11907</xdr:rowOff>
    </xdr:from>
    <xdr:to>
      <xdr:col>4</xdr:col>
      <xdr:colOff>1452563</xdr:colOff>
      <xdr:row>28</xdr:row>
      <xdr:rowOff>154782</xdr:rowOff>
    </xdr:to>
    <xdr:pic>
      <xdr:nvPicPr>
        <xdr:cNvPr id="24" name="Picture 29"/>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81363" y="4488657"/>
          <a:ext cx="142875" cy="142875"/>
        </a:xfrm>
        <a:prstGeom prst="rect">
          <a:avLst/>
        </a:prstGeom>
      </xdr:spPr>
    </xdr:pic>
    <xdr:clientData/>
  </xdr:twoCellAnchor>
  <xdr:twoCellAnchor editAs="oneCell">
    <xdr:from>
      <xdr:col>4</xdr:col>
      <xdr:colOff>1309687</xdr:colOff>
      <xdr:row>43</xdr:row>
      <xdr:rowOff>11907</xdr:rowOff>
    </xdr:from>
    <xdr:to>
      <xdr:col>4</xdr:col>
      <xdr:colOff>1452562</xdr:colOff>
      <xdr:row>43</xdr:row>
      <xdr:rowOff>154782</xdr:rowOff>
    </xdr:to>
    <xdr:pic>
      <xdr:nvPicPr>
        <xdr:cNvPr id="25" name="Picture 30"/>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281362" y="6917532"/>
          <a:ext cx="142875" cy="142875"/>
        </a:xfrm>
        <a:prstGeom prst="rect">
          <a:avLst/>
        </a:prstGeom>
      </xdr:spPr>
    </xdr:pic>
    <xdr:clientData/>
  </xdr:twoCellAnchor>
  <xdr:twoCellAnchor editAs="oneCell">
    <xdr:from>
      <xdr:col>4</xdr:col>
      <xdr:colOff>1303734</xdr:colOff>
      <xdr:row>15</xdr:row>
      <xdr:rowOff>5953</xdr:rowOff>
    </xdr:from>
    <xdr:to>
      <xdr:col>4</xdr:col>
      <xdr:colOff>1452562</xdr:colOff>
      <xdr:row>15</xdr:row>
      <xdr:rowOff>154781</xdr:rowOff>
    </xdr:to>
    <xdr:pic>
      <xdr:nvPicPr>
        <xdr:cNvPr id="26"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275409" y="2377678"/>
          <a:ext cx="148828" cy="148828"/>
        </a:xfrm>
        <a:prstGeom prst="rect">
          <a:avLst/>
        </a:prstGeom>
      </xdr:spPr>
    </xdr:pic>
    <xdr:clientData/>
  </xdr:twoCellAnchor>
  <xdr:twoCellAnchor editAs="oneCell">
    <xdr:from>
      <xdr:col>4</xdr:col>
      <xdr:colOff>1303734</xdr:colOff>
      <xdr:row>31</xdr:row>
      <xdr:rowOff>5953</xdr:rowOff>
    </xdr:from>
    <xdr:to>
      <xdr:col>4</xdr:col>
      <xdr:colOff>1452562</xdr:colOff>
      <xdr:row>31</xdr:row>
      <xdr:rowOff>154781</xdr:rowOff>
    </xdr:to>
    <xdr:pic>
      <xdr:nvPicPr>
        <xdr:cNvPr id="27" name="Picture 32"/>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275409" y="4968478"/>
          <a:ext cx="148828" cy="148828"/>
        </a:xfrm>
        <a:prstGeom prst="rect">
          <a:avLst/>
        </a:prstGeom>
      </xdr:spPr>
    </xdr:pic>
    <xdr:clientData/>
  </xdr:twoCellAnchor>
  <xdr:twoCellAnchor editAs="oneCell">
    <xdr:from>
      <xdr:col>7</xdr:col>
      <xdr:colOff>47624</xdr:colOff>
      <xdr:row>49</xdr:row>
      <xdr:rowOff>5953</xdr:rowOff>
    </xdr:from>
    <xdr:to>
      <xdr:col>7</xdr:col>
      <xdr:colOff>196452</xdr:colOff>
      <xdr:row>49</xdr:row>
      <xdr:rowOff>154781</xdr:rowOff>
    </xdr:to>
    <xdr:pic>
      <xdr:nvPicPr>
        <xdr:cNvPr id="28" name="Picture 33"/>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229099" y="7883128"/>
          <a:ext cx="148828" cy="148828"/>
        </a:xfrm>
        <a:prstGeom prst="rect">
          <a:avLst/>
        </a:prstGeom>
      </xdr:spPr>
    </xdr:pic>
    <xdr:clientData/>
  </xdr:twoCellAnchor>
  <xdr:twoCellAnchor editAs="oneCell">
    <xdr:from>
      <xdr:col>7</xdr:col>
      <xdr:colOff>47625</xdr:colOff>
      <xdr:row>15</xdr:row>
      <xdr:rowOff>5954</xdr:rowOff>
    </xdr:from>
    <xdr:to>
      <xdr:col>7</xdr:col>
      <xdr:colOff>196453</xdr:colOff>
      <xdr:row>15</xdr:row>
      <xdr:rowOff>154782</xdr:rowOff>
    </xdr:to>
    <xdr:pic>
      <xdr:nvPicPr>
        <xdr:cNvPr id="29" name="Picture 31"/>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229100" y="2377679"/>
          <a:ext cx="148828" cy="148828"/>
        </a:xfrm>
        <a:prstGeom prst="rect">
          <a:avLst/>
        </a:prstGeom>
      </xdr:spPr>
    </xdr:pic>
    <xdr:clientData/>
  </xdr:twoCellAnchor>
  <xdr:twoCellAnchor editAs="oneCell">
    <xdr:from>
      <xdr:col>7</xdr:col>
      <xdr:colOff>53577</xdr:colOff>
      <xdr:row>33</xdr:row>
      <xdr:rowOff>5953</xdr:rowOff>
    </xdr:from>
    <xdr:to>
      <xdr:col>7</xdr:col>
      <xdr:colOff>202405</xdr:colOff>
      <xdr:row>33</xdr:row>
      <xdr:rowOff>154781</xdr:rowOff>
    </xdr:to>
    <xdr:pic>
      <xdr:nvPicPr>
        <xdr:cNvPr id="30" name="Picture 35"/>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235052" y="5292328"/>
          <a:ext cx="148828" cy="148828"/>
        </a:xfrm>
        <a:prstGeom prst="rect">
          <a:avLst/>
        </a:prstGeom>
      </xdr:spPr>
    </xdr:pic>
    <xdr:clientData/>
  </xdr:twoCellAnchor>
  <xdr:twoCellAnchor editAs="oneCell">
    <xdr:from>
      <xdr:col>4</xdr:col>
      <xdr:colOff>1303735</xdr:colOff>
      <xdr:row>50</xdr:row>
      <xdr:rowOff>11907</xdr:rowOff>
    </xdr:from>
    <xdr:to>
      <xdr:col>4</xdr:col>
      <xdr:colOff>1452563</xdr:colOff>
      <xdr:row>51</xdr:row>
      <xdr:rowOff>2</xdr:rowOff>
    </xdr:to>
    <xdr:pic>
      <xdr:nvPicPr>
        <xdr:cNvPr id="31" name="Picture 36"/>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275410" y="8051007"/>
          <a:ext cx="148828" cy="150019"/>
        </a:xfrm>
        <a:prstGeom prst="rect">
          <a:avLst/>
        </a:prstGeom>
      </xdr:spPr>
    </xdr:pic>
    <xdr:clientData/>
  </xdr:twoCellAnchor>
  <xdr:twoCellAnchor editAs="oneCell">
    <xdr:from>
      <xdr:col>4</xdr:col>
      <xdr:colOff>1303734</xdr:colOff>
      <xdr:row>16</xdr:row>
      <xdr:rowOff>5953</xdr:rowOff>
    </xdr:from>
    <xdr:to>
      <xdr:col>4</xdr:col>
      <xdr:colOff>1458515</xdr:colOff>
      <xdr:row>17</xdr:row>
      <xdr:rowOff>1</xdr:rowOff>
    </xdr:to>
    <xdr:pic>
      <xdr:nvPicPr>
        <xdr:cNvPr id="32" name="Picture 34"/>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275409" y="2539603"/>
          <a:ext cx="154781" cy="155973"/>
        </a:xfrm>
        <a:prstGeom prst="rect">
          <a:avLst/>
        </a:prstGeom>
      </xdr:spPr>
    </xdr:pic>
    <xdr:clientData/>
  </xdr:twoCellAnchor>
  <xdr:twoCellAnchor editAs="oneCell">
    <xdr:from>
      <xdr:col>7</xdr:col>
      <xdr:colOff>59529</xdr:colOff>
      <xdr:row>31</xdr:row>
      <xdr:rowOff>11905</xdr:rowOff>
    </xdr:from>
    <xdr:to>
      <xdr:col>7</xdr:col>
      <xdr:colOff>208358</xdr:colOff>
      <xdr:row>32</xdr:row>
      <xdr:rowOff>1984</xdr:rowOff>
    </xdr:to>
    <xdr:pic>
      <xdr:nvPicPr>
        <xdr:cNvPr id="33" name="Picture 38"/>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4241004" y="4974430"/>
          <a:ext cx="148829" cy="152004"/>
        </a:xfrm>
        <a:prstGeom prst="rect">
          <a:avLst/>
        </a:prstGeom>
      </xdr:spPr>
    </xdr:pic>
    <xdr:clientData/>
  </xdr:twoCellAnchor>
  <xdr:twoCellAnchor editAs="oneCell">
    <xdr:from>
      <xdr:col>7</xdr:col>
      <xdr:colOff>47623</xdr:colOff>
      <xdr:row>50</xdr:row>
      <xdr:rowOff>11905</xdr:rowOff>
    </xdr:from>
    <xdr:to>
      <xdr:col>7</xdr:col>
      <xdr:colOff>196452</xdr:colOff>
      <xdr:row>51</xdr:row>
      <xdr:rowOff>2443</xdr:rowOff>
    </xdr:to>
    <xdr:pic>
      <xdr:nvPicPr>
        <xdr:cNvPr id="34" name="Picture 39"/>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4229098" y="8051005"/>
          <a:ext cx="148829" cy="152462"/>
        </a:xfrm>
        <a:prstGeom prst="rect">
          <a:avLst/>
        </a:prstGeom>
      </xdr:spPr>
    </xdr:pic>
    <xdr:clientData/>
  </xdr:twoCellAnchor>
  <xdr:twoCellAnchor editAs="oneCell">
    <xdr:from>
      <xdr:col>7</xdr:col>
      <xdr:colOff>41671</xdr:colOff>
      <xdr:row>16</xdr:row>
      <xdr:rowOff>5952</xdr:rowOff>
    </xdr:from>
    <xdr:to>
      <xdr:col>7</xdr:col>
      <xdr:colOff>196452</xdr:colOff>
      <xdr:row>17</xdr:row>
      <xdr:rowOff>1983</xdr:rowOff>
    </xdr:to>
    <xdr:pic>
      <xdr:nvPicPr>
        <xdr:cNvPr id="35" name="Picture 37"/>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4223146" y="2539602"/>
          <a:ext cx="154781" cy="157956"/>
        </a:xfrm>
        <a:prstGeom prst="rect">
          <a:avLst/>
        </a:prstGeom>
      </xdr:spPr>
    </xdr:pic>
    <xdr:clientData/>
  </xdr:twoCellAnchor>
  <xdr:twoCellAnchor editAs="oneCell">
    <xdr:from>
      <xdr:col>4</xdr:col>
      <xdr:colOff>1297782</xdr:colOff>
      <xdr:row>33</xdr:row>
      <xdr:rowOff>5953</xdr:rowOff>
    </xdr:from>
    <xdr:to>
      <xdr:col>4</xdr:col>
      <xdr:colOff>1452563</xdr:colOff>
      <xdr:row>34</xdr:row>
      <xdr:rowOff>1984</xdr:rowOff>
    </xdr:to>
    <xdr:pic>
      <xdr:nvPicPr>
        <xdr:cNvPr id="36" name="Picture 41"/>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269457" y="5292328"/>
          <a:ext cx="154781" cy="157956"/>
        </a:xfrm>
        <a:prstGeom prst="rect">
          <a:avLst/>
        </a:prstGeom>
      </xdr:spPr>
    </xdr:pic>
    <xdr:clientData/>
  </xdr:twoCellAnchor>
  <xdr:twoCellAnchor editAs="oneCell">
    <xdr:from>
      <xdr:col>4</xdr:col>
      <xdr:colOff>1297781</xdr:colOff>
      <xdr:row>49</xdr:row>
      <xdr:rowOff>5953</xdr:rowOff>
    </xdr:from>
    <xdr:to>
      <xdr:col>4</xdr:col>
      <xdr:colOff>1452562</xdr:colOff>
      <xdr:row>50</xdr:row>
      <xdr:rowOff>1984</xdr:rowOff>
    </xdr:to>
    <xdr:pic>
      <xdr:nvPicPr>
        <xdr:cNvPr id="37" name="Picture 42"/>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269456" y="7883128"/>
          <a:ext cx="154781" cy="157956"/>
        </a:xfrm>
        <a:prstGeom prst="rect">
          <a:avLst/>
        </a:prstGeom>
      </xdr:spPr>
    </xdr:pic>
    <xdr:clientData/>
  </xdr:twoCellAnchor>
  <xdr:twoCellAnchor editAs="oneCell">
    <xdr:from>
      <xdr:col>4</xdr:col>
      <xdr:colOff>1303735</xdr:colOff>
      <xdr:row>17</xdr:row>
      <xdr:rowOff>5954</xdr:rowOff>
    </xdr:from>
    <xdr:to>
      <xdr:col>4</xdr:col>
      <xdr:colOff>1458516</xdr:colOff>
      <xdr:row>18</xdr:row>
      <xdr:rowOff>0</xdr:rowOff>
    </xdr:to>
    <xdr:pic>
      <xdr:nvPicPr>
        <xdr:cNvPr id="38" name="Picture 40"/>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275410" y="2701529"/>
          <a:ext cx="154781" cy="155971"/>
        </a:xfrm>
        <a:prstGeom prst="rect">
          <a:avLst/>
        </a:prstGeom>
      </xdr:spPr>
    </xdr:pic>
    <xdr:clientData/>
  </xdr:twoCellAnchor>
  <xdr:twoCellAnchor editAs="oneCell">
    <xdr:from>
      <xdr:col>4</xdr:col>
      <xdr:colOff>1297782</xdr:colOff>
      <xdr:row>32</xdr:row>
      <xdr:rowOff>5953</xdr:rowOff>
    </xdr:from>
    <xdr:to>
      <xdr:col>4</xdr:col>
      <xdr:colOff>1452563</xdr:colOff>
      <xdr:row>33</xdr:row>
      <xdr:rowOff>1</xdr:rowOff>
    </xdr:to>
    <xdr:pic>
      <xdr:nvPicPr>
        <xdr:cNvPr id="39" name="Picture 44"/>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269457" y="5130403"/>
          <a:ext cx="154781" cy="155973"/>
        </a:xfrm>
        <a:prstGeom prst="rect">
          <a:avLst/>
        </a:prstGeom>
      </xdr:spPr>
    </xdr:pic>
    <xdr:clientData/>
  </xdr:twoCellAnchor>
  <xdr:twoCellAnchor editAs="oneCell">
    <xdr:from>
      <xdr:col>7</xdr:col>
      <xdr:colOff>53577</xdr:colOff>
      <xdr:row>47</xdr:row>
      <xdr:rowOff>5953</xdr:rowOff>
    </xdr:from>
    <xdr:to>
      <xdr:col>7</xdr:col>
      <xdr:colOff>208358</xdr:colOff>
      <xdr:row>48</xdr:row>
      <xdr:rowOff>1984</xdr:rowOff>
    </xdr:to>
    <xdr:pic>
      <xdr:nvPicPr>
        <xdr:cNvPr id="40" name="Picture 45"/>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4235052" y="7559278"/>
          <a:ext cx="154781" cy="157956"/>
        </a:xfrm>
        <a:prstGeom prst="rect">
          <a:avLst/>
        </a:prstGeom>
      </xdr:spPr>
    </xdr:pic>
    <xdr:clientData/>
  </xdr:twoCellAnchor>
  <xdr:twoCellAnchor editAs="oneCell">
    <xdr:from>
      <xdr:col>7</xdr:col>
      <xdr:colOff>41671</xdr:colOff>
      <xdr:row>17</xdr:row>
      <xdr:rowOff>11906</xdr:rowOff>
    </xdr:from>
    <xdr:to>
      <xdr:col>7</xdr:col>
      <xdr:colOff>190499</xdr:colOff>
      <xdr:row>18</xdr:row>
      <xdr:rowOff>1984</xdr:rowOff>
    </xdr:to>
    <xdr:pic>
      <xdr:nvPicPr>
        <xdr:cNvPr id="41" name="Picture 43"/>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4223146" y="2707481"/>
          <a:ext cx="148828" cy="152003"/>
        </a:xfrm>
        <a:prstGeom prst="rect">
          <a:avLst/>
        </a:prstGeom>
      </xdr:spPr>
    </xdr:pic>
    <xdr:clientData/>
  </xdr:twoCellAnchor>
  <xdr:twoCellAnchor editAs="oneCell">
    <xdr:from>
      <xdr:col>7</xdr:col>
      <xdr:colOff>53577</xdr:colOff>
      <xdr:row>34</xdr:row>
      <xdr:rowOff>5953</xdr:rowOff>
    </xdr:from>
    <xdr:to>
      <xdr:col>7</xdr:col>
      <xdr:colOff>202405</xdr:colOff>
      <xdr:row>34</xdr:row>
      <xdr:rowOff>154781</xdr:rowOff>
    </xdr:to>
    <xdr:pic>
      <xdr:nvPicPr>
        <xdr:cNvPr id="42" name="Picture 47"/>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4235052" y="5454253"/>
          <a:ext cx="148828" cy="148828"/>
        </a:xfrm>
        <a:prstGeom prst="rect">
          <a:avLst/>
        </a:prstGeom>
      </xdr:spPr>
    </xdr:pic>
    <xdr:clientData/>
  </xdr:twoCellAnchor>
  <xdr:twoCellAnchor editAs="oneCell">
    <xdr:from>
      <xdr:col>4</xdr:col>
      <xdr:colOff>1297781</xdr:colOff>
      <xdr:row>48</xdr:row>
      <xdr:rowOff>5953</xdr:rowOff>
    </xdr:from>
    <xdr:to>
      <xdr:col>4</xdr:col>
      <xdr:colOff>1446609</xdr:colOff>
      <xdr:row>48</xdr:row>
      <xdr:rowOff>154781</xdr:rowOff>
    </xdr:to>
    <xdr:pic>
      <xdr:nvPicPr>
        <xdr:cNvPr id="43" name="Picture 48"/>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269456" y="7721203"/>
          <a:ext cx="148828" cy="148828"/>
        </a:xfrm>
        <a:prstGeom prst="rect">
          <a:avLst/>
        </a:prstGeom>
      </xdr:spPr>
    </xdr:pic>
    <xdr:clientData/>
  </xdr:twoCellAnchor>
  <xdr:twoCellAnchor editAs="oneCell">
    <xdr:from>
      <xdr:col>4</xdr:col>
      <xdr:colOff>1303733</xdr:colOff>
      <xdr:row>18</xdr:row>
      <xdr:rowOff>5952</xdr:rowOff>
    </xdr:from>
    <xdr:to>
      <xdr:col>4</xdr:col>
      <xdr:colOff>1452563</xdr:colOff>
      <xdr:row>18</xdr:row>
      <xdr:rowOff>154782</xdr:rowOff>
    </xdr:to>
    <xdr:pic>
      <xdr:nvPicPr>
        <xdr:cNvPr id="44" name="Picture 46"/>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275408" y="2863452"/>
          <a:ext cx="148830" cy="148830"/>
        </a:xfrm>
        <a:prstGeom prst="rect">
          <a:avLst/>
        </a:prstGeom>
      </xdr:spPr>
    </xdr:pic>
    <xdr:clientData/>
  </xdr:twoCellAnchor>
  <xdr:twoCellAnchor editAs="oneCell">
    <xdr:from>
      <xdr:col>7</xdr:col>
      <xdr:colOff>47624</xdr:colOff>
      <xdr:row>32</xdr:row>
      <xdr:rowOff>5953</xdr:rowOff>
    </xdr:from>
    <xdr:to>
      <xdr:col>7</xdr:col>
      <xdr:colOff>196454</xdr:colOff>
      <xdr:row>32</xdr:row>
      <xdr:rowOff>154783</xdr:rowOff>
    </xdr:to>
    <xdr:pic>
      <xdr:nvPicPr>
        <xdr:cNvPr id="45" name="Picture 50"/>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4229099" y="5130403"/>
          <a:ext cx="148830" cy="148830"/>
        </a:xfrm>
        <a:prstGeom prst="rect">
          <a:avLst/>
        </a:prstGeom>
      </xdr:spPr>
    </xdr:pic>
    <xdr:clientData/>
  </xdr:twoCellAnchor>
  <xdr:twoCellAnchor editAs="oneCell">
    <xdr:from>
      <xdr:col>7</xdr:col>
      <xdr:colOff>47624</xdr:colOff>
      <xdr:row>48</xdr:row>
      <xdr:rowOff>5953</xdr:rowOff>
    </xdr:from>
    <xdr:to>
      <xdr:col>7</xdr:col>
      <xdr:colOff>196454</xdr:colOff>
      <xdr:row>48</xdr:row>
      <xdr:rowOff>154783</xdr:rowOff>
    </xdr:to>
    <xdr:pic>
      <xdr:nvPicPr>
        <xdr:cNvPr id="46" name="Picture 51"/>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4229099" y="7721203"/>
          <a:ext cx="148830" cy="148830"/>
        </a:xfrm>
        <a:prstGeom prst="rect">
          <a:avLst/>
        </a:prstGeom>
      </xdr:spPr>
    </xdr:pic>
    <xdr:clientData/>
  </xdr:twoCellAnchor>
  <xdr:twoCellAnchor editAs="oneCell">
    <xdr:from>
      <xdr:col>7</xdr:col>
      <xdr:colOff>41672</xdr:colOff>
      <xdr:row>18</xdr:row>
      <xdr:rowOff>5953</xdr:rowOff>
    </xdr:from>
    <xdr:to>
      <xdr:col>7</xdr:col>
      <xdr:colOff>196454</xdr:colOff>
      <xdr:row>19</xdr:row>
      <xdr:rowOff>0</xdr:rowOff>
    </xdr:to>
    <xdr:pic>
      <xdr:nvPicPr>
        <xdr:cNvPr id="47" name="Picture 49"/>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4223147" y="2863453"/>
          <a:ext cx="154782" cy="155972"/>
        </a:xfrm>
        <a:prstGeom prst="rect">
          <a:avLst/>
        </a:prstGeom>
      </xdr:spPr>
    </xdr:pic>
    <xdr:clientData/>
  </xdr:twoCellAnchor>
  <xdr:twoCellAnchor editAs="oneCell">
    <xdr:from>
      <xdr:col>4</xdr:col>
      <xdr:colOff>1297781</xdr:colOff>
      <xdr:row>34</xdr:row>
      <xdr:rowOff>5954</xdr:rowOff>
    </xdr:from>
    <xdr:to>
      <xdr:col>4</xdr:col>
      <xdr:colOff>1452563</xdr:colOff>
      <xdr:row>35</xdr:row>
      <xdr:rowOff>1</xdr:rowOff>
    </xdr:to>
    <xdr:pic>
      <xdr:nvPicPr>
        <xdr:cNvPr id="48" name="Picture 53"/>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269456" y="5454254"/>
          <a:ext cx="154782" cy="155972"/>
        </a:xfrm>
        <a:prstGeom prst="rect">
          <a:avLst/>
        </a:prstGeom>
      </xdr:spPr>
    </xdr:pic>
    <xdr:clientData/>
  </xdr:twoCellAnchor>
  <xdr:twoCellAnchor editAs="oneCell">
    <xdr:from>
      <xdr:col>4</xdr:col>
      <xdr:colOff>1297781</xdr:colOff>
      <xdr:row>47</xdr:row>
      <xdr:rowOff>5953</xdr:rowOff>
    </xdr:from>
    <xdr:to>
      <xdr:col>4</xdr:col>
      <xdr:colOff>1452563</xdr:colOff>
      <xdr:row>48</xdr:row>
      <xdr:rowOff>2442</xdr:rowOff>
    </xdr:to>
    <xdr:pic>
      <xdr:nvPicPr>
        <xdr:cNvPr id="49" name="Picture 54"/>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269456" y="7559278"/>
          <a:ext cx="154782" cy="158414"/>
        </a:xfrm>
        <a:prstGeom prst="rect">
          <a:avLst/>
        </a:prstGeom>
      </xdr:spPr>
    </xdr:pic>
    <xdr:clientData/>
  </xdr:twoCellAnchor>
  <xdr:twoCellAnchor editAs="oneCell">
    <xdr:from>
      <xdr:col>4</xdr:col>
      <xdr:colOff>1303736</xdr:colOff>
      <xdr:row>19</xdr:row>
      <xdr:rowOff>5955</xdr:rowOff>
    </xdr:from>
    <xdr:to>
      <xdr:col>4</xdr:col>
      <xdr:colOff>1458516</xdr:colOff>
      <xdr:row>20</xdr:row>
      <xdr:rowOff>2</xdr:rowOff>
    </xdr:to>
    <xdr:pic>
      <xdr:nvPicPr>
        <xdr:cNvPr id="50" name="Picture 52"/>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275411" y="3025380"/>
          <a:ext cx="154780" cy="155972"/>
        </a:xfrm>
        <a:prstGeom prst="rect">
          <a:avLst/>
        </a:prstGeom>
      </xdr:spPr>
    </xdr:pic>
    <xdr:clientData/>
  </xdr:twoCellAnchor>
  <xdr:twoCellAnchor editAs="oneCell">
    <xdr:from>
      <xdr:col>4</xdr:col>
      <xdr:colOff>1297781</xdr:colOff>
      <xdr:row>35</xdr:row>
      <xdr:rowOff>5953</xdr:rowOff>
    </xdr:from>
    <xdr:to>
      <xdr:col>4</xdr:col>
      <xdr:colOff>1452561</xdr:colOff>
      <xdr:row>36</xdr:row>
      <xdr:rowOff>1983</xdr:rowOff>
    </xdr:to>
    <xdr:pic>
      <xdr:nvPicPr>
        <xdr:cNvPr id="51" name="Picture 56"/>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269456" y="5616178"/>
          <a:ext cx="154780" cy="157955"/>
        </a:xfrm>
        <a:prstGeom prst="rect">
          <a:avLst/>
        </a:prstGeom>
      </xdr:spPr>
    </xdr:pic>
    <xdr:clientData/>
  </xdr:twoCellAnchor>
  <xdr:twoCellAnchor editAs="oneCell">
    <xdr:from>
      <xdr:col>7</xdr:col>
      <xdr:colOff>47624</xdr:colOff>
      <xdr:row>53</xdr:row>
      <xdr:rowOff>5953</xdr:rowOff>
    </xdr:from>
    <xdr:to>
      <xdr:col>7</xdr:col>
      <xdr:colOff>202404</xdr:colOff>
      <xdr:row>54</xdr:row>
      <xdr:rowOff>1983</xdr:rowOff>
    </xdr:to>
    <xdr:pic>
      <xdr:nvPicPr>
        <xdr:cNvPr id="52" name="Picture 57"/>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4229099" y="8530828"/>
          <a:ext cx="154780" cy="157955"/>
        </a:xfrm>
        <a:prstGeom prst="rect">
          <a:avLst/>
        </a:prstGeom>
      </xdr:spPr>
    </xdr:pic>
    <xdr:clientData/>
  </xdr:twoCellAnchor>
  <xdr:twoCellAnchor editAs="oneCell">
    <xdr:from>
      <xdr:col>7</xdr:col>
      <xdr:colOff>47625</xdr:colOff>
      <xdr:row>19</xdr:row>
      <xdr:rowOff>11907</xdr:rowOff>
    </xdr:from>
    <xdr:to>
      <xdr:col>7</xdr:col>
      <xdr:colOff>190501</xdr:colOff>
      <xdr:row>19</xdr:row>
      <xdr:rowOff>154783</xdr:rowOff>
    </xdr:to>
    <xdr:pic>
      <xdr:nvPicPr>
        <xdr:cNvPr id="53" name="Picture 55"/>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4229100" y="3031332"/>
          <a:ext cx="142876" cy="142876"/>
        </a:xfrm>
        <a:prstGeom prst="rect">
          <a:avLst/>
        </a:prstGeom>
      </xdr:spPr>
    </xdr:pic>
    <xdr:clientData/>
  </xdr:twoCellAnchor>
  <xdr:twoCellAnchor editAs="oneCell">
    <xdr:from>
      <xdr:col>7</xdr:col>
      <xdr:colOff>47624</xdr:colOff>
      <xdr:row>36</xdr:row>
      <xdr:rowOff>11906</xdr:rowOff>
    </xdr:from>
    <xdr:to>
      <xdr:col>7</xdr:col>
      <xdr:colOff>190500</xdr:colOff>
      <xdr:row>36</xdr:row>
      <xdr:rowOff>154782</xdr:rowOff>
    </xdr:to>
    <xdr:pic>
      <xdr:nvPicPr>
        <xdr:cNvPr id="54" name="Picture 59"/>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4229099" y="5784056"/>
          <a:ext cx="142876" cy="142876"/>
        </a:xfrm>
        <a:prstGeom prst="rect">
          <a:avLst/>
        </a:prstGeom>
      </xdr:spPr>
    </xdr:pic>
    <xdr:clientData/>
  </xdr:twoCellAnchor>
  <xdr:twoCellAnchor editAs="oneCell">
    <xdr:from>
      <xdr:col>4</xdr:col>
      <xdr:colOff>1309688</xdr:colOff>
      <xdr:row>54</xdr:row>
      <xdr:rowOff>11907</xdr:rowOff>
    </xdr:from>
    <xdr:to>
      <xdr:col>4</xdr:col>
      <xdr:colOff>1452564</xdr:colOff>
      <xdr:row>54</xdr:row>
      <xdr:rowOff>154783</xdr:rowOff>
    </xdr:to>
    <xdr:pic>
      <xdr:nvPicPr>
        <xdr:cNvPr id="55" name="Picture 60"/>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281363" y="8698707"/>
          <a:ext cx="142876" cy="142876"/>
        </a:xfrm>
        <a:prstGeom prst="rect">
          <a:avLst/>
        </a:prstGeom>
      </xdr:spPr>
    </xdr:pic>
    <xdr:clientData/>
  </xdr:twoCellAnchor>
  <xdr:twoCellAnchor editAs="oneCell">
    <xdr:from>
      <xdr:col>4</xdr:col>
      <xdr:colOff>1303735</xdr:colOff>
      <xdr:row>20</xdr:row>
      <xdr:rowOff>11907</xdr:rowOff>
    </xdr:from>
    <xdr:to>
      <xdr:col>4</xdr:col>
      <xdr:colOff>1446611</xdr:colOff>
      <xdr:row>20</xdr:row>
      <xdr:rowOff>154783</xdr:rowOff>
    </xdr:to>
    <xdr:pic>
      <xdr:nvPicPr>
        <xdr:cNvPr id="56" name="Picture 58"/>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3275410" y="3193257"/>
          <a:ext cx="142876" cy="142876"/>
        </a:xfrm>
        <a:prstGeom prst="rect">
          <a:avLst/>
        </a:prstGeom>
      </xdr:spPr>
    </xdr:pic>
    <xdr:clientData/>
  </xdr:twoCellAnchor>
  <xdr:twoCellAnchor editAs="oneCell">
    <xdr:from>
      <xdr:col>7</xdr:col>
      <xdr:colOff>53577</xdr:colOff>
      <xdr:row>35</xdr:row>
      <xdr:rowOff>11906</xdr:rowOff>
    </xdr:from>
    <xdr:to>
      <xdr:col>7</xdr:col>
      <xdr:colOff>196453</xdr:colOff>
      <xdr:row>35</xdr:row>
      <xdr:rowOff>154782</xdr:rowOff>
    </xdr:to>
    <xdr:pic>
      <xdr:nvPicPr>
        <xdr:cNvPr id="57" name="Picture 62"/>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4235052" y="5622131"/>
          <a:ext cx="142876" cy="142876"/>
        </a:xfrm>
        <a:prstGeom prst="rect">
          <a:avLst/>
        </a:prstGeom>
      </xdr:spPr>
    </xdr:pic>
    <xdr:clientData/>
  </xdr:twoCellAnchor>
  <xdr:twoCellAnchor editAs="oneCell">
    <xdr:from>
      <xdr:col>7</xdr:col>
      <xdr:colOff>47624</xdr:colOff>
      <xdr:row>54</xdr:row>
      <xdr:rowOff>11906</xdr:rowOff>
    </xdr:from>
    <xdr:to>
      <xdr:col>7</xdr:col>
      <xdr:colOff>190500</xdr:colOff>
      <xdr:row>54</xdr:row>
      <xdr:rowOff>154782</xdr:rowOff>
    </xdr:to>
    <xdr:pic>
      <xdr:nvPicPr>
        <xdr:cNvPr id="58" name="Picture 63"/>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4229099" y="8698706"/>
          <a:ext cx="142876" cy="142876"/>
        </a:xfrm>
        <a:prstGeom prst="rect">
          <a:avLst/>
        </a:prstGeom>
      </xdr:spPr>
    </xdr:pic>
    <xdr:clientData/>
  </xdr:twoCellAnchor>
  <xdr:twoCellAnchor editAs="oneCell">
    <xdr:from>
      <xdr:col>7</xdr:col>
      <xdr:colOff>41672</xdr:colOff>
      <xdr:row>20</xdr:row>
      <xdr:rowOff>5954</xdr:rowOff>
    </xdr:from>
    <xdr:to>
      <xdr:col>7</xdr:col>
      <xdr:colOff>190500</xdr:colOff>
      <xdr:row>20</xdr:row>
      <xdr:rowOff>154782</xdr:rowOff>
    </xdr:to>
    <xdr:pic>
      <xdr:nvPicPr>
        <xdr:cNvPr id="59" name="Picture 61"/>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4223147" y="3187304"/>
          <a:ext cx="148828" cy="148828"/>
        </a:xfrm>
        <a:prstGeom prst="rect">
          <a:avLst/>
        </a:prstGeom>
      </xdr:spPr>
    </xdr:pic>
    <xdr:clientData/>
  </xdr:twoCellAnchor>
  <xdr:twoCellAnchor editAs="oneCell">
    <xdr:from>
      <xdr:col>4</xdr:col>
      <xdr:colOff>1297781</xdr:colOff>
      <xdr:row>36</xdr:row>
      <xdr:rowOff>11906</xdr:rowOff>
    </xdr:from>
    <xdr:to>
      <xdr:col>4</xdr:col>
      <xdr:colOff>1446609</xdr:colOff>
      <xdr:row>37</xdr:row>
      <xdr:rowOff>1984</xdr:rowOff>
    </xdr:to>
    <xdr:pic>
      <xdr:nvPicPr>
        <xdr:cNvPr id="60" name="Picture 65"/>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269456" y="5784056"/>
          <a:ext cx="148828" cy="152003"/>
        </a:xfrm>
        <a:prstGeom prst="rect">
          <a:avLst/>
        </a:prstGeom>
      </xdr:spPr>
    </xdr:pic>
    <xdr:clientData/>
  </xdr:twoCellAnchor>
  <xdr:twoCellAnchor editAs="oneCell">
    <xdr:from>
      <xdr:col>4</xdr:col>
      <xdr:colOff>1303735</xdr:colOff>
      <xdr:row>53</xdr:row>
      <xdr:rowOff>5953</xdr:rowOff>
    </xdr:from>
    <xdr:to>
      <xdr:col>4</xdr:col>
      <xdr:colOff>1452563</xdr:colOff>
      <xdr:row>53</xdr:row>
      <xdr:rowOff>154781</xdr:rowOff>
    </xdr:to>
    <xdr:pic>
      <xdr:nvPicPr>
        <xdr:cNvPr id="61" name="Picture 66"/>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275410" y="8530828"/>
          <a:ext cx="148828" cy="148828"/>
        </a:xfrm>
        <a:prstGeom prst="rect">
          <a:avLst/>
        </a:prstGeom>
      </xdr:spPr>
    </xdr:pic>
    <xdr:clientData/>
  </xdr:twoCellAnchor>
  <xdr:twoCellAnchor editAs="oneCell">
    <xdr:from>
      <xdr:col>4</xdr:col>
      <xdr:colOff>1291828</xdr:colOff>
      <xdr:row>21</xdr:row>
      <xdr:rowOff>5952</xdr:rowOff>
    </xdr:from>
    <xdr:to>
      <xdr:col>4</xdr:col>
      <xdr:colOff>1446610</xdr:colOff>
      <xdr:row>22</xdr:row>
      <xdr:rowOff>2443</xdr:rowOff>
    </xdr:to>
    <xdr:pic>
      <xdr:nvPicPr>
        <xdr:cNvPr id="62" name="Picture 23807"/>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3263503" y="3349227"/>
          <a:ext cx="154782" cy="158415"/>
        </a:xfrm>
        <a:prstGeom prst="rect">
          <a:avLst/>
        </a:prstGeom>
      </xdr:spPr>
    </xdr:pic>
    <xdr:clientData/>
  </xdr:twoCellAnchor>
  <xdr:twoCellAnchor editAs="oneCell">
    <xdr:from>
      <xdr:col>4</xdr:col>
      <xdr:colOff>1291828</xdr:colOff>
      <xdr:row>37</xdr:row>
      <xdr:rowOff>5953</xdr:rowOff>
    </xdr:from>
    <xdr:to>
      <xdr:col>4</xdr:col>
      <xdr:colOff>1446610</xdr:colOff>
      <xdr:row>38</xdr:row>
      <xdr:rowOff>1</xdr:rowOff>
    </xdr:to>
    <xdr:pic>
      <xdr:nvPicPr>
        <xdr:cNvPr id="63" name="Picture 68"/>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3263503" y="5940028"/>
          <a:ext cx="154782" cy="155973"/>
        </a:xfrm>
        <a:prstGeom prst="rect">
          <a:avLst/>
        </a:prstGeom>
      </xdr:spPr>
    </xdr:pic>
    <xdr:clientData/>
  </xdr:twoCellAnchor>
  <xdr:twoCellAnchor editAs="oneCell">
    <xdr:from>
      <xdr:col>7</xdr:col>
      <xdr:colOff>41671</xdr:colOff>
      <xdr:row>51</xdr:row>
      <xdr:rowOff>5953</xdr:rowOff>
    </xdr:from>
    <xdr:to>
      <xdr:col>7</xdr:col>
      <xdr:colOff>196453</xdr:colOff>
      <xdr:row>51</xdr:row>
      <xdr:rowOff>161192</xdr:rowOff>
    </xdr:to>
    <xdr:pic>
      <xdr:nvPicPr>
        <xdr:cNvPr id="64" name="Picture 69"/>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4223146" y="8206978"/>
          <a:ext cx="154782" cy="155239"/>
        </a:xfrm>
        <a:prstGeom prst="rect">
          <a:avLst/>
        </a:prstGeom>
      </xdr:spPr>
    </xdr:pic>
    <xdr:clientData/>
  </xdr:twoCellAnchor>
  <xdr:twoCellAnchor editAs="oneCell">
    <xdr:from>
      <xdr:col>7</xdr:col>
      <xdr:colOff>41673</xdr:colOff>
      <xdr:row>21</xdr:row>
      <xdr:rowOff>5954</xdr:rowOff>
    </xdr:from>
    <xdr:to>
      <xdr:col>7</xdr:col>
      <xdr:colOff>196453</xdr:colOff>
      <xdr:row>22</xdr:row>
      <xdr:rowOff>2443</xdr:rowOff>
    </xdr:to>
    <xdr:pic>
      <xdr:nvPicPr>
        <xdr:cNvPr id="65" name="Picture 23808"/>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4223148" y="3349229"/>
          <a:ext cx="154780" cy="158413"/>
        </a:xfrm>
        <a:prstGeom prst="rect">
          <a:avLst/>
        </a:prstGeom>
      </xdr:spPr>
    </xdr:pic>
    <xdr:clientData/>
  </xdr:twoCellAnchor>
  <xdr:twoCellAnchor editAs="oneCell">
    <xdr:from>
      <xdr:col>7</xdr:col>
      <xdr:colOff>41671</xdr:colOff>
      <xdr:row>39</xdr:row>
      <xdr:rowOff>5953</xdr:rowOff>
    </xdr:from>
    <xdr:to>
      <xdr:col>7</xdr:col>
      <xdr:colOff>196451</xdr:colOff>
      <xdr:row>40</xdr:row>
      <xdr:rowOff>1983</xdr:rowOff>
    </xdr:to>
    <xdr:pic>
      <xdr:nvPicPr>
        <xdr:cNvPr id="66" name="Picture 71"/>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4223146" y="6263878"/>
          <a:ext cx="154780" cy="157955"/>
        </a:xfrm>
        <a:prstGeom prst="rect">
          <a:avLst/>
        </a:prstGeom>
      </xdr:spPr>
    </xdr:pic>
    <xdr:clientData/>
  </xdr:twoCellAnchor>
  <xdr:twoCellAnchor editAs="oneCell">
    <xdr:from>
      <xdr:col>4</xdr:col>
      <xdr:colOff>1303734</xdr:colOff>
      <xdr:row>52</xdr:row>
      <xdr:rowOff>5953</xdr:rowOff>
    </xdr:from>
    <xdr:to>
      <xdr:col>4</xdr:col>
      <xdr:colOff>1458514</xdr:colOff>
      <xdr:row>53</xdr:row>
      <xdr:rowOff>1983</xdr:rowOff>
    </xdr:to>
    <xdr:pic>
      <xdr:nvPicPr>
        <xdr:cNvPr id="67" name="Picture 72"/>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3275409" y="8368903"/>
          <a:ext cx="154780" cy="157955"/>
        </a:xfrm>
        <a:prstGeom prst="rect">
          <a:avLst/>
        </a:prstGeom>
      </xdr:spPr>
    </xdr:pic>
    <xdr:clientData/>
  </xdr:twoCellAnchor>
  <xdr:twoCellAnchor editAs="oneCell">
    <xdr:from>
      <xdr:col>4</xdr:col>
      <xdr:colOff>1291828</xdr:colOff>
      <xdr:row>22</xdr:row>
      <xdr:rowOff>11906</xdr:rowOff>
    </xdr:from>
    <xdr:to>
      <xdr:col>4</xdr:col>
      <xdr:colOff>1440656</xdr:colOff>
      <xdr:row>23</xdr:row>
      <xdr:rowOff>1983</xdr:rowOff>
    </xdr:to>
    <xdr:pic>
      <xdr:nvPicPr>
        <xdr:cNvPr id="68" name="Picture 23809"/>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3263503" y="3517106"/>
          <a:ext cx="148828" cy="152003"/>
        </a:xfrm>
        <a:prstGeom prst="rect">
          <a:avLst/>
        </a:prstGeom>
      </xdr:spPr>
    </xdr:pic>
    <xdr:clientData/>
  </xdr:twoCellAnchor>
  <xdr:twoCellAnchor editAs="oneCell">
    <xdr:from>
      <xdr:col>4</xdr:col>
      <xdr:colOff>1297782</xdr:colOff>
      <xdr:row>38</xdr:row>
      <xdr:rowOff>11906</xdr:rowOff>
    </xdr:from>
    <xdr:to>
      <xdr:col>4</xdr:col>
      <xdr:colOff>1446610</xdr:colOff>
      <xdr:row>39</xdr:row>
      <xdr:rowOff>1984</xdr:rowOff>
    </xdr:to>
    <xdr:pic>
      <xdr:nvPicPr>
        <xdr:cNvPr id="69" name="Picture 74"/>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3269457" y="6107906"/>
          <a:ext cx="148828" cy="152003"/>
        </a:xfrm>
        <a:prstGeom prst="rect">
          <a:avLst/>
        </a:prstGeom>
      </xdr:spPr>
    </xdr:pic>
    <xdr:clientData/>
  </xdr:twoCellAnchor>
  <xdr:twoCellAnchor editAs="oneCell">
    <xdr:from>
      <xdr:col>7</xdr:col>
      <xdr:colOff>47624</xdr:colOff>
      <xdr:row>55</xdr:row>
      <xdr:rowOff>5953</xdr:rowOff>
    </xdr:from>
    <xdr:to>
      <xdr:col>7</xdr:col>
      <xdr:colOff>196452</xdr:colOff>
      <xdr:row>55</xdr:row>
      <xdr:rowOff>154781</xdr:rowOff>
    </xdr:to>
    <xdr:pic>
      <xdr:nvPicPr>
        <xdr:cNvPr id="70" name="Picture 75"/>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4229099" y="8854678"/>
          <a:ext cx="148828" cy="148828"/>
        </a:xfrm>
        <a:prstGeom prst="rect">
          <a:avLst/>
        </a:prstGeom>
      </xdr:spPr>
    </xdr:pic>
    <xdr:clientData/>
  </xdr:twoCellAnchor>
  <xdr:twoCellAnchor editAs="oneCell">
    <xdr:from>
      <xdr:col>7</xdr:col>
      <xdr:colOff>47624</xdr:colOff>
      <xdr:row>22</xdr:row>
      <xdr:rowOff>11906</xdr:rowOff>
    </xdr:from>
    <xdr:to>
      <xdr:col>7</xdr:col>
      <xdr:colOff>190499</xdr:colOff>
      <xdr:row>22</xdr:row>
      <xdr:rowOff>154781</xdr:rowOff>
    </xdr:to>
    <xdr:pic>
      <xdr:nvPicPr>
        <xdr:cNvPr id="71" name="Picture 23810"/>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4229099" y="3517106"/>
          <a:ext cx="142875" cy="142875"/>
        </a:xfrm>
        <a:prstGeom prst="rect">
          <a:avLst/>
        </a:prstGeom>
      </xdr:spPr>
    </xdr:pic>
    <xdr:clientData/>
  </xdr:twoCellAnchor>
  <xdr:twoCellAnchor editAs="oneCell">
    <xdr:from>
      <xdr:col>7</xdr:col>
      <xdr:colOff>47624</xdr:colOff>
      <xdr:row>41</xdr:row>
      <xdr:rowOff>11906</xdr:rowOff>
    </xdr:from>
    <xdr:to>
      <xdr:col>7</xdr:col>
      <xdr:colOff>190499</xdr:colOff>
      <xdr:row>41</xdr:row>
      <xdr:rowOff>154781</xdr:rowOff>
    </xdr:to>
    <xdr:pic>
      <xdr:nvPicPr>
        <xdr:cNvPr id="72" name="Picture 77"/>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4229099" y="6593681"/>
          <a:ext cx="142875" cy="142875"/>
        </a:xfrm>
        <a:prstGeom prst="rect">
          <a:avLst/>
        </a:prstGeom>
      </xdr:spPr>
    </xdr:pic>
    <xdr:clientData/>
  </xdr:twoCellAnchor>
  <xdr:twoCellAnchor editAs="oneCell">
    <xdr:from>
      <xdr:col>4</xdr:col>
      <xdr:colOff>1303734</xdr:colOff>
      <xdr:row>56</xdr:row>
      <xdr:rowOff>11906</xdr:rowOff>
    </xdr:from>
    <xdr:to>
      <xdr:col>4</xdr:col>
      <xdr:colOff>1446609</xdr:colOff>
      <xdr:row>56</xdr:row>
      <xdr:rowOff>154781</xdr:rowOff>
    </xdr:to>
    <xdr:pic>
      <xdr:nvPicPr>
        <xdr:cNvPr id="73" name="Picture 78"/>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3275409" y="9022556"/>
          <a:ext cx="142875" cy="142875"/>
        </a:xfrm>
        <a:prstGeom prst="rect">
          <a:avLst/>
        </a:prstGeom>
      </xdr:spPr>
    </xdr:pic>
    <xdr:clientData/>
  </xdr:twoCellAnchor>
  <xdr:twoCellAnchor editAs="oneCell">
    <xdr:from>
      <xdr:col>4</xdr:col>
      <xdr:colOff>1297781</xdr:colOff>
      <xdr:row>23</xdr:row>
      <xdr:rowOff>11906</xdr:rowOff>
    </xdr:from>
    <xdr:to>
      <xdr:col>4</xdr:col>
      <xdr:colOff>1440656</xdr:colOff>
      <xdr:row>23</xdr:row>
      <xdr:rowOff>154781</xdr:rowOff>
    </xdr:to>
    <xdr:pic>
      <xdr:nvPicPr>
        <xdr:cNvPr id="74" name="Picture 23811"/>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tretch>
          <a:fillRect/>
        </a:stretch>
      </xdr:blipFill>
      <xdr:spPr>
        <a:xfrm>
          <a:off x="3269456" y="3679031"/>
          <a:ext cx="142875" cy="142875"/>
        </a:xfrm>
        <a:prstGeom prst="rect">
          <a:avLst/>
        </a:prstGeom>
      </xdr:spPr>
    </xdr:pic>
    <xdr:clientData/>
  </xdr:twoCellAnchor>
  <xdr:twoCellAnchor editAs="oneCell">
    <xdr:from>
      <xdr:col>7</xdr:col>
      <xdr:colOff>41671</xdr:colOff>
      <xdr:row>37</xdr:row>
      <xdr:rowOff>11906</xdr:rowOff>
    </xdr:from>
    <xdr:to>
      <xdr:col>7</xdr:col>
      <xdr:colOff>184546</xdr:colOff>
      <xdr:row>37</xdr:row>
      <xdr:rowOff>154781</xdr:rowOff>
    </xdr:to>
    <xdr:pic>
      <xdr:nvPicPr>
        <xdr:cNvPr id="75" name="Picture 80"/>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tretch>
          <a:fillRect/>
        </a:stretch>
      </xdr:blipFill>
      <xdr:spPr>
        <a:xfrm>
          <a:off x="4223146" y="5945981"/>
          <a:ext cx="142875" cy="142875"/>
        </a:xfrm>
        <a:prstGeom prst="rect">
          <a:avLst/>
        </a:prstGeom>
      </xdr:spPr>
    </xdr:pic>
    <xdr:clientData/>
  </xdr:twoCellAnchor>
  <xdr:twoCellAnchor editAs="oneCell">
    <xdr:from>
      <xdr:col>7</xdr:col>
      <xdr:colOff>47624</xdr:colOff>
      <xdr:row>52</xdr:row>
      <xdr:rowOff>11906</xdr:rowOff>
    </xdr:from>
    <xdr:to>
      <xdr:col>7</xdr:col>
      <xdr:colOff>190499</xdr:colOff>
      <xdr:row>52</xdr:row>
      <xdr:rowOff>154781</xdr:rowOff>
    </xdr:to>
    <xdr:pic>
      <xdr:nvPicPr>
        <xdr:cNvPr id="76" name="Picture 81"/>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tretch>
          <a:fillRect/>
        </a:stretch>
      </xdr:blipFill>
      <xdr:spPr>
        <a:xfrm>
          <a:off x="4229099" y="8374856"/>
          <a:ext cx="142875" cy="142875"/>
        </a:xfrm>
        <a:prstGeom prst="rect">
          <a:avLst/>
        </a:prstGeom>
      </xdr:spPr>
    </xdr:pic>
    <xdr:clientData/>
  </xdr:twoCellAnchor>
  <xdr:twoCellAnchor editAs="oneCell">
    <xdr:from>
      <xdr:col>7</xdr:col>
      <xdr:colOff>47626</xdr:colOff>
      <xdr:row>23</xdr:row>
      <xdr:rowOff>11907</xdr:rowOff>
    </xdr:from>
    <xdr:to>
      <xdr:col>7</xdr:col>
      <xdr:colOff>196454</xdr:colOff>
      <xdr:row>24</xdr:row>
      <xdr:rowOff>1</xdr:rowOff>
    </xdr:to>
    <xdr:pic>
      <xdr:nvPicPr>
        <xdr:cNvPr id="77" name="Picture 23812"/>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tretch>
          <a:fillRect/>
        </a:stretch>
      </xdr:blipFill>
      <xdr:spPr>
        <a:xfrm>
          <a:off x="4229101" y="3679032"/>
          <a:ext cx="148828" cy="150019"/>
        </a:xfrm>
        <a:prstGeom prst="rect">
          <a:avLst/>
        </a:prstGeom>
      </xdr:spPr>
    </xdr:pic>
    <xdr:clientData/>
  </xdr:twoCellAnchor>
  <xdr:twoCellAnchor editAs="oneCell">
    <xdr:from>
      <xdr:col>4</xdr:col>
      <xdr:colOff>1303735</xdr:colOff>
      <xdr:row>39</xdr:row>
      <xdr:rowOff>11907</xdr:rowOff>
    </xdr:from>
    <xdr:to>
      <xdr:col>4</xdr:col>
      <xdr:colOff>1452563</xdr:colOff>
      <xdr:row>40</xdr:row>
      <xdr:rowOff>1</xdr:rowOff>
    </xdr:to>
    <xdr:pic>
      <xdr:nvPicPr>
        <xdr:cNvPr id="78" name="Picture 83"/>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tretch>
          <a:fillRect/>
        </a:stretch>
      </xdr:blipFill>
      <xdr:spPr>
        <a:xfrm>
          <a:off x="3275410" y="6269832"/>
          <a:ext cx="148828" cy="150019"/>
        </a:xfrm>
        <a:prstGeom prst="rect">
          <a:avLst/>
        </a:prstGeom>
      </xdr:spPr>
    </xdr:pic>
    <xdr:clientData/>
  </xdr:twoCellAnchor>
  <xdr:twoCellAnchor editAs="oneCell">
    <xdr:from>
      <xdr:col>4</xdr:col>
      <xdr:colOff>1309688</xdr:colOff>
      <xdr:row>51</xdr:row>
      <xdr:rowOff>11907</xdr:rowOff>
    </xdr:from>
    <xdr:to>
      <xdr:col>4</xdr:col>
      <xdr:colOff>1458516</xdr:colOff>
      <xdr:row>51</xdr:row>
      <xdr:rowOff>161192</xdr:rowOff>
    </xdr:to>
    <xdr:pic>
      <xdr:nvPicPr>
        <xdr:cNvPr id="79" name="Picture 84"/>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Lst>
        </a:blip>
        <a:stretch>
          <a:fillRect/>
        </a:stretch>
      </xdr:blipFill>
      <xdr:spPr>
        <a:xfrm>
          <a:off x="3281363" y="8212932"/>
          <a:ext cx="148828" cy="149285"/>
        </a:xfrm>
        <a:prstGeom prst="rect">
          <a:avLst/>
        </a:prstGeom>
      </xdr:spPr>
    </xdr:pic>
    <xdr:clientData/>
  </xdr:twoCellAnchor>
  <xdr:twoCellAnchor editAs="oneCell">
    <xdr:from>
      <xdr:col>4</xdr:col>
      <xdr:colOff>1297781</xdr:colOff>
      <xdr:row>24</xdr:row>
      <xdr:rowOff>11907</xdr:rowOff>
    </xdr:from>
    <xdr:to>
      <xdr:col>4</xdr:col>
      <xdr:colOff>1440656</xdr:colOff>
      <xdr:row>24</xdr:row>
      <xdr:rowOff>154782</xdr:rowOff>
    </xdr:to>
    <xdr:pic>
      <xdr:nvPicPr>
        <xdr:cNvPr id="80" name="Picture 23813"/>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tretch>
          <a:fillRect/>
        </a:stretch>
      </xdr:blipFill>
      <xdr:spPr>
        <a:xfrm>
          <a:off x="3269456" y="3840957"/>
          <a:ext cx="142875" cy="142875"/>
        </a:xfrm>
        <a:prstGeom prst="rect">
          <a:avLst/>
        </a:prstGeom>
      </xdr:spPr>
    </xdr:pic>
    <xdr:clientData/>
  </xdr:twoCellAnchor>
  <xdr:twoCellAnchor editAs="oneCell">
    <xdr:from>
      <xdr:col>7</xdr:col>
      <xdr:colOff>47624</xdr:colOff>
      <xdr:row>38</xdr:row>
      <xdr:rowOff>11906</xdr:rowOff>
    </xdr:from>
    <xdr:to>
      <xdr:col>7</xdr:col>
      <xdr:colOff>190499</xdr:colOff>
      <xdr:row>38</xdr:row>
      <xdr:rowOff>154781</xdr:rowOff>
    </xdr:to>
    <xdr:pic>
      <xdr:nvPicPr>
        <xdr:cNvPr id="81" name="Picture 86"/>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tretch>
          <a:fillRect/>
        </a:stretch>
      </xdr:blipFill>
      <xdr:spPr>
        <a:xfrm>
          <a:off x="4229099" y="6107906"/>
          <a:ext cx="142875" cy="142875"/>
        </a:xfrm>
        <a:prstGeom prst="rect">
          <a:avLst/>
        </a:prstGeom>
      </xdr:spPr>
    </xdr:pic>
    <xdr:clientData/>
  </xdr:twoCellAnchor>
  <xdr:twoCellAnchor editAs="oneCell">
    <xdr:from>
      <xdr:col>7</xdr:col>
      <xdr:colOff>47624</xdr:colOff>
      <xdr:row>56</xdr:row>
      <xdr:rowOff>11906</xdr:rowOff>
    </xdr:from>
    <xdr:to>
      <xdr:col>7</xdr:col>
      <xdr:colOff>190499</xdr:colOff>
      <xdr:row>56</xdr:row>
      <xdr:rowOff>154781</xdr:rowOff>
    </xdr:to>
    <xdr:pic>
      <xdr:nvPicPr>
        <xdr:cNvPr id="82" name="Picture 87"/>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tretch>
          <a:fillRect/>
        </a:stretch>
      </xdr:blipFill>
      <xdr:spPr>
        <a:xfrm>
          <a:off x="4229099" y="9022556"/>
          <a:ext cx="142875" cy="142875"/>
        </a:xfrm>
        <a:prstGeom prst="rect">
          <a:avLst/>
        </a:prstGeom>
      </xdr:spPr>
    </xdr:pic>
    <xdr:clientData/>
  </xdr:twoCellAnchor>
  <xdr:twoCellAnchor editAs="oneCell">
    <xdr:from>
      <xdr:col>7</xdr:col>
      <xdr:colOff>41671</xdr:colOff>
      <xdr:row>24</xdr:row>
      <xdr:rowOff>11906</xdr:rowOff>
    </xdr:from>
    <xdr:to>
      <xdr:col>7</xdr:col>
      <xdr:colOff>184546</xdr:colOff>
      <xdr:row>24</xdr:row>
      <xdr:rowOff>154781</xdr:rowOff>
    </xdr:to>
    <xdr:pic>
      <xdr:nvPicPr>
        <xdr:cNvPr id="83" name="Picture 23814"/>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4223146" y="3840956"/>
          <a:ext cx="142875" cy="142875"/>
        </a:xfrm>
        <a:prstGeom prst="rect">
          <a:avLst/>
        </a:prstGeom>
      </xdr:spPr>
    </xdr:pic>
    <xdr:clientData/>
  </xdr:twoCellAnchor>
  <xdr:twoCellAnchor editAs="oneCell">
    <xdr:from>
      <xdr:col>4</xdr:col>
      <xdr:colOff>1303735</xdr:colOff>
      <xdr:row>41</xdr:row>
      <xdr:rowOff>11907</xdr:rowOff>
    </xdr:from>
    <xdr:to>
      <xdr:col>4</xdr:col>
      <xdr:colOff>1446610</xdr:colOff>
      <xdr:row>41</xdr:row>
      <xdr:rowOff>154782</xdr:rowOff>
    </xdr:to>
    <xdr:pic>
      <xdr:nvPicPr>
        <xdr:cNvPr id="84" name="Picture 89"/>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3275410" y="6593682"/>
          <a:ext cx="142875" cy="142875"/>
        </a:xfrm>
        <a:prstGeom prst="rect">
          <a:avLst/>
        </a:prstGeom>
      </xdr:spPr>
    </xdr:pic>
    <xdr:clientData/>
  </xdr:twoCellAnchor>
  <xdr:twoCellAnchor editAs="oneCell">
    <xdr:from>
      <xdr:col>4</xdr:col>
      <xdr:colOff>1303734</xdr:colOff>
      <xdr:row>55</xdr:row>
      <xdr:rowOff>11906</xdr:rowOff>
    </xdr:from>
    <xdr:to>
      <xdr:col>4</xdr:col>
      <xdr:colOff>1446609</xdr:colOff>
      <xdr:row>55</xdr:row>
      <xdr:rowOff>154781</xdr:rowOff>
    </xdr:to>
    <xdr:pic>
      <xdr:nvPicPr>
        <xdr:cNvPr id="85" name="Picture 90"/>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3275409" y="8860631"/>
          <a:ext cx="142875" cy="142875"/>
        </a:xfrm>
        <a:prstGeom prst="rect">
          <a:avLst/>
        </a:prstGeom>
      </xdr:spPr>
    </xdr:pic>
    <xdr:clientData/>
  </xdr:twoCellAnchor>
  <xdr:twoCellAnchor editAs="oneCell">
    <xdr:from>
      <xdr:col>4</xdr:col>
      <xdr:colOff>1297781</xdr:colOff>
      <xdr:row>25</xdr:row>
      <xdr:rowOff>17860</xdr:rowOff>
    </xdr:from>
    <xdr:to>
      <xdr:col>4</xdr:col>
      <xdr:colOff>1440656</xdr:colOff>
      <xdr:row>26</xdr:row>
      <xdr:rowOff>2442</xdr:rowOff>
    </xdr:to>
    <xdr:pic>
      <xdr:nvPicPr>
        <xdr:cNvPr id="86" name="Picture 23815"/>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3269456" y="4008835"/>
          <a:ext cx="142875" cy="146507"/>
        </a:xfrm>
        <a:prstGeom prst="rect">
          <a:avLst/>
        </a:prstGeom>
      </xdr:spPr>
    </xdr:pic>
    <xdr:clientData/>
  </xdr:twoCellAnchor>
  <xdr:twoCellAnchor editAs="oneCell">
    <xdr:from>
      <xdr:col>4</xdr:col>
      <xdr:colOff>1303734</xdr:colOff>
      <xdr:row>42</xdr:row>
      <xdr:rowOff>17859</xdr:rowOff>
    </xdr:from>
    <xdr:to>
      <xdr:col>4</xdr:col>
      <xdr:colOff>1446609</xdr:colOff>
      <xdr:row>43</xdr:row>
      <xdr:rowOff>1</xdr:rowOff>
    </xdr:to>
    <xdr:pic>
      <xdr:nvPicPr>
        <xdr:cNvPr id="87" name="Picture 92"/>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3275409" y="6761559"/>
          <a:ext cx="142875" cy="144067"/>
        </a:xfrm>
        <a:prstGeom prst="rect">
          <a:avLst/>
        </a:prstGeom>
      </xdr:spPr>
    </xdr:pic>
    <xdr:clientData/>
  </xdr:twoCellAnchor>
  <xdr:twoCellAnchor editAs="oneCell">
    <xdr:from>
      <xdr:col>7</xdr:col>
      <xdr:colOff>41671</xdr:colOff>
      <xdr:row>57</xdr:row>
      <xdr:rowOff>11906</xdr:rowOff>
    </xdr:from>
    <xdr:to>
      <xdr:col>7</xdr:col>
      <xdr:colOff>184546</xdr:colOff>
      <xdr:row>57</xdr:row>
      <xdr:rowOff>154781</xdr:rowOff>
    </xdr:to>
    <xdr:pic>
      <xdr:nvPicPr>
        <xdr:cNvPr id="88" name="Picture 93"/>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tretch>
          <a:fillRect/>
        </a:stretch>
      </xdr:blipFill>
      <xdr:spPr>
        <a:xfrm>
          <a:off x="4223146" y="9184481"/>
          <a:ext cx="142875" cy="142875"/>
        </a:xfrm>
        <a:prstGeom prst="rect">
          <a:avLst/>
        </a:prstGeom>
      </xdr:spPr>
    </xdr:pic>
    <xdr:clientData/>
  </xdr:twoCellAnchor>
  <xdr:twoCellAnchor editAs="oneCell">
    <xdr:from>
      <xdr:col>7</xdr:col>
      <xdr:colOff>47624</xdr:colOff>
      <xdr:row>25</xdr:row>
      <xdr:rowOff>11906</xdr:rowOff>
    </xdr:from>
    <xdr:to>
      <xdr:col>7</xdr:col>
      <xdr:colOff>196452</xdr:colOff>
      <xdr:row>26</xdr:row>
      <xdr:rowOff>1984</xdr:rowOff>
    </xdr:to>
    <xdr:pic>
      <xdr:nvPicPr>
        <xdr:cNvPr id="89" name="Picture 23816"/>
        <xdr:cNvPicPr>
          <a:picLocks noChangeAspect="1"/>
        </xdr:cNvPicPr>
      </xdr:nvPicPr>
      <xdr:blipFill>
        <a:blip xmlns:r="http://schemas.openxmlformats.org/officeDocument/2006/relationships" r:embed="rId45" cstate="print">
          <a:extLst>
            <a:ext uri="{28A0092B-C50C-407E-A947-70E740481C1C}">
              <a14:useLocalDpi xmlns:a14="http://schemas.microsoft.com/office/drawing/2010/main" val="0"/>
            </a:ext>
          </a:extLst>
        </a:blip>
        <a:stretch>
          <a:fillRect/>
        </a:stretch>
      </xdr:blipFill>
      <xdr:spPr>
        <a:xfrm>
          <a:off x="4229099" y="4002881"/>
          <a:ext cx="148828" cy="152003"/>
        </a:xfrm>
        <a:prstGeom prst="rect">
          <a:avLst/>
        </a:prstGeom>
      </xdr:spPr>
    </xdr:pic>
    <xdr:clientData/>
  </xdr:twoCellAnchor>
  <xdr:twoCellAnchor editAs="oneCell">
    <xdr:from>
      <xdr:col>7</xdr:col>
      <xdr:colOff>47624</xdr:colOff>
      <xdr:row>40</xdr:row>
      <xdr:rowOff>5953</xdr:rowOff>
    </xdr:from>
    <xdr:to>
      <xdr:col>7</xdr:col>
      <xdr:colOff>196452</xdr:colOff>
      <xdr:row>40</xdr:row>
      <xdr:rowOff>154781</xdr:rowOff>
    </xdr:to>
    <xdr:pic>
      <xdr:nvPicPr>
        <xdr:cNvPr id="90" name="Picture 95"/>
        <xdr:cNvPicPr>
          <a:picLocks noChangeAspect="1"/>
        </xdr:cNvPicPr>
      </xdr:nvPicPr>
      <xdr:blipFill>
        <a:blip xmlns:r="http://schemas.openxmlformats.org/officeDocument/2006/relationships" r:embed="rId46" cstate="print">
          <a:extLst>
            <a:ext uri="{28A0092B-C50C-407E-A947-70E740481C1C}">
              <a14:useLocalDpi xmlns:a14="http://schemas.microsoft.com/office/drawing/2010/main" val="0"/>
            </a:ext>
          </a:extLst>
        </a:blip>
        <a:stretch>
          <a:fillRect/>
        </a:stretch>
      </xdr:blipFill>
      <xdr:spPr>
        <a:xfrm>
          <a:off x="4229099" y="6425803"/>
          <a:ext cx="148828" cy="148828"/>
        </a:xfrm>
        <a:prstGeom prst="rect">
          <a:avLst/>
        </a:prstGeom>
      </xdr:spPr>
    </xdr:pic>
    <xdr:clientData/>
  </xdr:twoCellAnchor>
  <xdr:twoCellAnchor editAs="oneCell">
    <xdr:from>
      <xdr:col>4</xdr:col>
      <xdr:colOff>1309688</xdr:colOff>
      <xdr:row>58</xdr:row>
      <xdr:rowOff>11906</xdr:rowOff>
    </xdr:from>
    <xdr:to>
      <xdr:col>4</xdr:col>
      <xdr:colOff>1458516</xdr:colOff>
      <xdr:row>59</xdr:row>
      <xdr:rowOff>0</xdr:rowOff>
    </xdr:to>
    <xdr:pic>
      <xdr:nvPicPr>
        <xdr:cNvPr id="91" name="Picture 96"/>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tretch>
          <a:fillRect/>
        </a:stretch>
      </xdr:blipFill>
      <xdr:spPr>
        <a:xfrm>
          <a:off x="3281363" y="9346406"/>
          <a:ext cx="148828" cy="150019"/>
        </a:xfrm>
        <a:prstGeom prst="rect">
          <a:avLst/>
        </a:prstGeom>
      </xdr:spPr>
    </xdr:pic>
    <xdr:clientData/>
  </xdr:twoCellAnchor>
  <xdr:twoCellAnchor editAs="oneCell">
    <xdr:from>
      <xdr:col>4</xdr:col>
      <xdr:colOff>1309687</xdr:colOff>
      <xdr:row>27</xdr:row>
      <xdr:rowOff>11907</xdr:rowOff>
    </xdr:from>
    <xdr:to>
      <xdr:col>4</xdr:col>
      <xdr:colOff>1452562</xdr:colOff>
      <xdr:row>27</xdr:row>
      <xdr:rowOff>154782</xdr:rowOff>
    </xdr:to>
    <xdr:pic>
      <xdr:nvPicPr>
        <xdr:cNvPr id="92" name="Picture 23817"/>
        <xdr:cNvPicPr>
          <a:picLocks noChangeAspect="1"/>
        </xdr:cNvPicPr>
      </xdr:nvPicPr>
      <xdr:blipFill>
        <a:blip xmlns:r="http://schemas.openxmlformats.org/officeDocument/2006/relationships" r:embed="rId48" cstate="print">
          <a:extLst>
            <a:ext uri="{28A0092B-C50C-407E-A947-70E740481C1C}">
              <a14:useLocalDpi xmlns:a14="http://schemas.microsoft.com/office/drawing/2010/main" val="0"/>
            </a:ext>
          </a:extLst>
        </a:blip>
        <a:stretch>
          <a:fillRect/>
        </a:stretch>
      </xdr:blipFill>
      <xdr:spPr>
        <a:xfrm>
          <a:off x="3281362" y="4326732"/>
          <a:ext cx="142875" cy="142875"/>
        </a:xfrm>
        <a:prstGeom prst="rect">
          <a:avLst/>
        </a:prstGeom>
      </xdr:spPr>
    </xdr:pic>
    <xdr:clientData/>
  </xdr:twoCellAnchor>
  <xdr:twoCellAnchor editAs="oneCell">
    <xdr:from>
      <xdr:col>7</xdr:col>
      <xdr:colOff>47624</xdr:colOff>
      <xdr:row>42</xdr:row>
      <xdr:rowOff>11906</xdr:rowOff>
    </xdr:from>
    <xdr:to>
      <xdr:col>7</xdr:col>
      <xdr:colOff>190499</xdr:colOff>
      <xdr:row>42</xdr:row>
      <xdr:rowOff>154781</xdr:rowOff>
    </xdr:to>
    <xdr:pic>
      <xdr:nvPicPr>
        <xdr:cNvPr id="93" name="Picture 98"/>
        <xdr:cNvPicPr>
          <a:picLocks noChangeAspect="1"/>
        </xdr:cNvPicPr>
      </xdr:nvPicPr>
      <xdr:blipFill>
        <a:blip xmlns:r="http://schemas.openxmlformats.org/officeDocument/2006/relationships" r:embed="rId48" cstate="print">
          <a:extLst>
            <a:ext uri="{28A0092B-C50C-407E-A947-70E740481C1C}">
              <a14:useLocalDpi xmlns:a14="http://schemas.microsoft.com/office/drawing/2010/main" val="0"/>
            </a:ext>
          </a:extLst>
        </a:blip>
        <a:stretch>
          <a:fillRect/>
        </a:stretch>
      </xdr:blipFill>
      <xdr:spPr>
        <a:xfrm>
          <a:off x="4229099" y="6755606"/>
          <a:ext cx="142875" cy="142875"/>
        </a:xfrm>
        <a:prstGeom prst="rect">
          <a:avLst/>
        </a:prstGeom>
      </xdr:spPr>
    </xdr:pic>
    <xdr:clientData/>
  </xdr:twoCellAnchor>
  <xdr:twoCellAnchor editAs="oneCell">
    <xdr:from>
      <xdr:col>7</xdr:col>
      <xdr:colOff>41671</xdr:colOff>
      <xdr:row>58</xdr:row>
      <xdr:rowOff>11906</xdr:rowOff>
    </xdr:from>
    <xdr:to>
      <xdr:col>7</xdr:col>
      <xdr:colOff>184546</xdr:colOff>
      <xdr:row>58</xdr:row>
      <xdr:rowOff>154781</xdr:rowOff>
    </xdr:to>
    <xdr:pic>
      <xdr:nvPicPr>
        <xdr:cNvPr id="94" name="Picture 99"/>
        <xdr:cNvPicPr>
          <a:picLocks noChangeAspect="1"/>
        </xdr:cNvPicPr>
      </xdr:nvPicPr>
      <xdr:blipFill>
        <a:blip xmlns:r="http://schemas.openxmlformats.org/officeDocument/2006/relationships" r:embed="rId48" cstate="print">
          <a:extLst>
            <a:ext uri="{28A0092B-C50C-407E-A947-70E740481C1C}">
              <a14:useLocalDpi xmlns:a14="http://schemas.microsoft.com/office/drawing/2010/main" val="0"/>
            </a:ext>
          </a:extLst>
        </a:blip>
        <a:stretch>
          <a:fillRect/>
        </a:stretch>
      </xdr:blipFill>
      <xdr:spPr>
        <a:xfrm>
          <a:off x="4223146" y="9346406"/>
          <a:ext cx="142875" cy="142875"/>
        </a:xfrm>
        <a:prstGeom prst="rect">
          <a:avLst/>
        </a:prstGeom>
      </xdr:spPr>
    </xdr:pic>
    <xdr:clientData/>
  </xdr:twoCellAnchor>
  <xdr:twoCellAnchor editAs="oneCell">
    <xdr:from>
      <xdr:col>7</xdr:col>
      <xdr:colOff>47624</xdr:colOff>
      <xdr:row>27</xdr:row>
      <xdr:rowOff>11906</xdr:rowOff>
    </xdr:from>
    <xdr:to>
      <xdr:col>7</xdr:col>
      <xdr:colOff>190499</xdr:colOff>
      <xdr:row>27</xdr:row>
      <xdr:rowOff>154781</xdr:rowOff>
    </xdr:to>
    <xdr:pic>
      <xdr:nvPicPr>
        <xdr:cNvPr id="95" name="Picture 23818"/>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Lst>
        </a:blip>
        <a:stretch>
          <a:fillRect/>
        </a:stretch>
      </xdr:blipFill>
      <xdr:spPr>
        <a:xfrm>
          <a:off x="4229099" y="4326731"/>
          <a:ext cx="142875" cy="142875"/>
        </a:xfrm>
        <a:prstGeom prst="rect">
          <a:avLst/>
        </a:prstGeom>
      </xdr:spPr>
    </xdr:pic>
    <xdr:clientData/>
  </xdr:twoCellAnchor>
  <xdr:twoCellAnchor editAs="oneCell">
    <xdr:from>
      <xdr:col>4</xdr:col>
      <xdr:colOff>1303734</xdr:colOff>
      <xdr:row>40</xdr:row>
      <xdr:rowOff>11906</xdr:rowOff>
    </xdr:from>
    <xdr:to>
      <xdr:col>4</xdr:col>
      <xdr:colOff>1446609</xdr:colOff>
      <xdr:row>40</xdr:row>
      <xdr:rowOff>154781</xdr:rowOff>
    </xdr:to>
    <xdr:pic>
      <xdr:nvPicPr>
        <xdr:cNvPr id="96" name="Picture 101"/>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Lst>
        </a:blip>
        <a:stretch>
          <a:fillRect/>
        </a:stretch>
      </xdr:blipFill>
      <xdr:spPr>
        <a:xfrm>
          <a:off x="3275409" y="6431756"/>
          <a:ext cx="142875" cy="142875"/>
        </a:xfrm>
        <a:prstGeom prst="rect">
          <a:avLst/>
        </a:prstGeom>
      </xdr:spPr>
    </xdr:pic>
    <xdr:clientData/>
  </xdr:twoCellAnchor>
  <xdr:twoCellAnchor editAs="oneCell">
    <xdr:from>
      <xdr:col>4</xdr:col>
      <xdr:colOff>1309687</xdr:colOff>
      <xdr:row>57</xdr:row>
      <xdr:rowOff>11907</xdr:rowOff>
    </xdr:from>
    <xdr:to>
      <xdr:col>4</xdr:col>
      <xdr:colOff>1452562</xdr:colOff>
      <xdr:row>57</xdr:row>
      <xdr:rowOff>154782</xdr:rowOff>
    </xdr:to>
    <xdr:pic>
      <xdr:nvPicPr>
        <xdr:cNvPr id="97" name="Picture 102"/>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Lst>
        </a:blip>
        <a:stretch>
          <a:fillRect/>
        </a:stretch>
      </xdr:blipFill>
      <xdr:spPr>
        <a:xfrm>
          <a:off x="3281362" y="9184482"/>
          <a:ext cx="142875" cy="142875"/>
        </a:xfrm>
        <a:prstGeom prst="rect">
          <a:avLst/>
        </a:prstGeom>
      </xdr:spPr>
    </xdr:pic>
    <xdr:clientData/>
  </xdr:twoCellAnchor>
  <xdr:twoCellAnchor>
    <xdr:from>
      <xdr:col>13</xdr:col>
      <xdr:colOff>0</xdr:colOff>
      <xdr:row>66</xdr:row>
      <xdr:rowOff>9525</xdr:rowOff>
    </xdr:from>
    <xdr:to>
      <xdr:col>14</xdr:col>
      <xdr:colOff>114300</xdr:colOff>
      <xdr:row>69</xdr:row>
      <xdr:rowOff>0</xdr:rowOff>
    </xdr:to>
    <xdr:pic>
      <xdr:nvPicPr>
        <xdr:cNvPr id="98" name="Рисунок 97" descr="xushnudbek"/>
        <xdr:cNvPicPr>
          <a:picLocks noChangeAspect="1" noChangeArrowheads="1"/>
        </xdr:cNvPicPr>
      </xdr:nvPicPr>
      <xdr:blipFill>
        <a:blip xmlns:r="http://schemas.openxmlformats.org/officeDocument/2006/relationships" r:embed="rId50" cstate="print">
          <a:extLst>
            <a:ext uri="{28A0092B-C50C-407E-A947-70E740481C1C}">
              <a14:useLocalDpi xmlns:a14="http://schemas.microsoft.com/office/drawing/2010/main" val="0"/>
            </a:ext>
          </a:extLst>
        </a:blip>
        <a:srcRect/>
        <a:stretch>
          <a:fillRect/>
        </a:stretch>
      </xdr:blipFill>
      <xdr:spPr bwMode="auto">
        <a:xfrm>
          <a:off x="7800975" y="12449175"/>
          <a:ext cx="476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70</xdr:row>
      <xdr:rowOff>0</xdr:rowOff>
    </xdr:from>
    <xdr:to>
      <xdr:col>14</xdr:col>
      <xdr:colOff>142874</xdr:colOff>
      <xdr:row>73</xdr:row>
      <xdr:rowOff>19049</xdr:rowOff>
    </xdr:to>
    <xdr:pic>
      <xdr:nvPicPr>
        <xdr:cNvPr id="99" name="Рисунок 98"/>
        <xdr:cNvPicPr>
          <a:picLocks noChangeAspect="1"/>
        </xdr:cNvPicPr>
      </xdr:nvPicPr>
      <xdr:blipFill>
        <a:blip xmlns:r="http://schemas.openxmlformats.org/officeDocument/2006/relationships" r:embed="rId51" cstate="print">
          <a:extLst>
            <a:ext uri="{28A0092B-C50C-407E-A947-70E740481C1C}">
              <a14:useLocalDpi xmlns:a14="http://schemas.microsoft.com/office/drawing/2010/main" val="0"/>
            </a:ext>
          </a:extLst>
        </a:blip>
        <a:stretch>
          <a:fillRect/>
        </a:stretch>
      </xdr:blipFill>
      <xdr:spPr>
        <a:xfrm>
          <a:off x="7800975" y="13087350"/>
          <a:ext cx="504824" cy="504824"/>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xushnudbek.uz/" TargetMode="External"/><Relationship Id="rId7" Type="http://schemas.openxmlformats.org/officeDocument/2006/relationships/image" Target="../media/image1.jpeg"/><Relationship Id="rId2" Type="http://schemas.openxmlformats.org/officeDocument/2006/relationships/hyperlink" Target="http://www.excely.com/football/2014-fifa-world-cup-schedule.shtml" TargetMode="External"/><Relationship Id="rId1" Type="http://schemas.openxmlformats.org/officeDocument/2006/relationships/hyperlink" Target="http://www.excely.com/ice-hockey/world-cup-2009-schedule/"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tadion.uz/"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xushnudbek.uz/" TargetMode="External"/><Relationship Id="rId2" Type="http://schemas.openxmlformats.org/officeDocument/2006/relationships/hyperlink" Target="http://xushnudbek.uz/" TargetMode="External"/><Relationship Id="rId1" Type="http://schemas.openxmlformats.org/officeDocument/2006/relationships/hyperlink" Target="http://www.excely.com/ice-hockey/world-cup-2009-schedule/"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stadion.u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115"/>
  <sheetViews>
    <sheetView workbookViewId="0">
      <pane ySplit="1" topLeftCell="A2" activePane="bottomLeft" state="frozen"/>
      <selection pane="bottomLeft"/>
    </sheetView>
  </sheetViews>
  <sheetFormatPr defaultRowHeight="12.75" x14ac:dyDescent="0.2"/>
  <cols>
    <col min="45" max="45" width="9.140625" hidden="1" customWidth="1"/>
  </cols>
  <sheetData>
    <row r="1" spans="1:45" x14ac:dyDescent="0.2">
      <c r="A1" t="s">
        <v>809</v>
      </c>
      <c r="B1" t="s">
        <v>603</v>
      </c>
      <c r="C1" t="s">
        <v>1240</v>
      </c>
      <c r="D1" t="s">
        <v>651</v>
      </c>
      <c r="E1" t="s">
        <v>1478</v>
      </c>
      <c r="F1" t="s">
        <v>1531</v>
      </c>
      <c r="G1" t="s">
        <v>1321</v>
      </c>
      <c r="H1" t="s">
        <v>68</v>
      </c>
      <c r="I1" t="s">
        <v>67</v>
      </c>
      <c r="J1" t="s">
        <v>717</v>
      </c>
      <c r="K1" t="s">
        <v>1804</v>
      </c>
      <c r="L1" t="s">
        <v>1669</v>
      </c>
      <c r="M1" t="s">
        <v>1074</v>
      </c>
      <c r="N1" t="s">
        <v>840</v>
      </c>
      <c r="O1" t="s">
        <v>1694</v>
      </c>
      <c r="P1" t="s">
        <v>839</v>
      </c>
      <c r="Q1" t="s">
        <v>1441</v>
      </c>
      <c r="R1" t="s">
        <v>278</v>
      </c>
      <c r="S1" t="s">
        <v>1748</v>
      </c>
      <c r="T1" t="s">
        <v>1301</v>
      </c>
      <c r="U1" t="s">
        <v>569</v>
      </c>
      <c r="V1" t="s">
        <v>1477</v>
      </c>
      <c r="W1" t="s">
        <v>1895</v>
      </c>
      <c r="X1" t="s">
        <v>345</v>
      </c>
      <c r="Y1" t="s">
        <v>1602</v>
      </c>
      <c r="Z1" t="s">
        <v>438</v>
      </c>
      <c r="AA1" t="s">
        <v>277</v>
      </c>
      <c r="AB1" t="s">
        <v>1268</v>
      </c>
      <c r="AC1" t="s">
        <v>131</v>
      </c>
      <c r="AD1" t="s">
        <v>596</v>
      </c>
      <c r="AE1" t="s">
        <v>1935</v>
      </c>
      <c r="AF1" t="s">
        <v>810</v>
      </c>
      <c r="AG1" t="s">
        <v>1973</v>
      </c>
      <c r="AH1" t="s">
        <v>252</v>
      </c>
      <c r="AI1" t="s">
        <v>417</v>
      </c>
      <c r="AJ1" t="s">
        <v>841</v>
      </c>
      <c r="AK1" t="s">
        <v>41</v>
      </c>
      <c r="AL1" t="s">
        <v>251</v>
      </c>
      <c r="AM1" t="s">
        <v>1239</v>
      </c>
      <c r="AN1" t="s">
        <v>1840</v>
      </c>
      <c r="AO1" t="s">
        <v>785</v>
      </c>
      <c r="AP1" t="s">
        <v>489</v>
      </c>
      <c r="AQ1" s="50" t="s">
        <v>2717</v>
      </c>
    </row>
    <row r="2" spans="1:45" x14ac:dyDescent="0.2">
      <c r="A2" t="s">
        <v>1978</v>
      </c>
      <c r="B2" t="s">
        <v>1979</v>
      </c>
      <c r="C2" t="s">
        <v>1980</v>
      </c>
      <c r="D2" t="s">
        <v>1981</v>
      </c>
      <c r="E2" t="s">
        <v>1982</v>
      </c>
      <c r="F2" t="s">
        <v>1983</v>
      </c>
      <c r="G2" t="s">
        <v>1984</v>
      </c>
      <c r="H2" t="s">
        <v>2718</v>
      </c>
      <c r="I2" t="s">
        <v>1985</v>
      </c>
      <c r="J2" t="s">
        <v>1986</v>
      </c>
      <c r="K2" t="s">
        <v>1987</v>
      </c>
      <c r="L2" t="s">
        <v>1988</v>
      </c>
      <c r="M2" t="s">
        <v>1989</v>
      </c>
      <c r="N2" t="s">
        <v>1991</v>
      </c>
      <c r="O2" t="s">
        <v>1992</v>
      </c>
      <c r="P2" t="s">
        <v>1993</v>
      </c>
      <c r="Q2" t="s">
        <v>1994</v>
      </c>
      <c r="R2" t="s">
        <v>1995</v>
      </c>
      <c r="S2" t="s">
        <v>1996</v>
      </c>
      <c r="T2" t="s">
        <v>1997</v>
      </c>
      <c r="U2" t="s">
        <v>1998</v>
      </c>
      <c r="V2" t="s">
        <v>1999</v>
      </c>
      <c r="W2" t="s">
        <v>2000</v>
      </c>
      <c r="X2" t="s">
        <v>2001</v>
      </c>
      <c r="Y2" t="s">
        <v>2002</v>
      </c>
      <c r="Z2" t="s">
        <v>2003</v>
      </c>
      <c r="AA2" t="s">
        <v>2004</v>
      </c>
      <c r="AB2" t="s">
        <v>1990</v>
      </c>
      <c r="AC2" t="s">
        <v>2005</v>
      </c>
      <c r="AD2" t="s">
        <v>2006</v>
      </c>
      <c r="AE2" t="s">
        <v>2007</v>
      </c>
      <c r="AF2" t="s">
        <v>2008</v>
      </c>
      <c r="AG2" t="s">
        <v>2009</v>
      </c>
      <c r="AH2" t="s">
        <v>2010</v>
      </c>
      <c r="AI2" t="s">
        <v>2011</v>
      </c>
      <c r="AJ2" t="s">
        <v>2690</v>
      </c>
      <c r="AK2" t="s">
        <v>2012</v>
      </c>
      <c r="AL2" t="s">
        <v>2013</v>
      </c>
      <c r="AM2" t="s">
        <v>2014</v>
      </c>
      <c r="AN2" t="s">
        <v>2015</v>
      </c>
      <c r="AO2" s="50" t="s">
        <v>2689</v>
      </c>
      <c r="AP2" t="s">
        <v>490</v>
      </c>
      <c r="AQ2" s="50" t="s">
        <v>2745</v>
      </c>
      <c r="AS2" t="s">
        <v>1062</v>
      </c>
    </row>
    <row r="3" spans="1:45" x14ac:dyDescent="0.2">
      <c r="A3" t="s">
        <v>791</v>
      </c>
      <c r="B3" t="s">
        <v>604</v>
      </c>
      <c r="C3" t="s">
        <v>389</v>
      </c>
      <c r="D3" t="s">
        <v>652</v>
      </c>
      <c r="E3" t="s">
        <v>1479</v>
      </c>
      <c r="F3" t="s">
        <v>1532</v>
      </c>
      <c r="G3" t="s">
        <v>1322</v>
      </c>
      <c r="H3" t="s">
        <v>69</v>
      </c>
      <c r="I3" t="s">
        <v>1567</v>
      </c>
      <c r="J3" t="s">
        <v>718</v>
      </c>
      <c r="K3" t="s">
        <v>1805</v>
      </c>
      <c r="L3" t="s">
        <v>1670</v>
      </c>
      <c r="M3" t="s">
        <v>1075</v>
      </c>
      <c r="N3" t="s">
        <v>794</v>
      </c>
      <c r="O3" t="s">
        <v>1695</v>
      </c>
      <c r="P3" t="s">
        <v>793</v>
      </c>
      <c r="Q3" t="s">
        <v>1360</v>
      </c>
      <c r="R3" t="s">
        <v>279</v>
      </c>
      <c r="S3" t="s">
        <v>1749</v>
      </c>
      <c r="T3" t="s">
        <v>703</v>
      </c>
      <c r="U3" t="s">
        <v>570</v>
      </c>
      <c r="V3" t="s">
        <v>412</v>
      </c>
      <c r="W3" t="s">
        <v>1896</v>
      </c>
      <c r="X3" t="s">
        <v>346</v>
      </c>
      <c r="Y3" t="s">
        <v>1603</v>
      </c>
      <c r="Z3" t="s">
        <v>439</v>
      </c>
      <c r="AA3" t="s">
        <v>266</v>
      </c>
      <c r="AB3" t="s">
        <v>1125</v>
      </c>
      <c r="AC3" t="s">
        <v>132</v>
      </c>
      <c r="AD3" t="s">
        <v>795</v>
      </c>
      <c r="AE3" t="s">
        <v>1936</v>
      </c>
      <c r="AF3" t="s">
        <v>792</v>
      </c>
      <c r="AG3" t="s">
        <v>1974</v>
      </c>
      <c r="AH3" t="s">
        <v>253</v>
      </c>
      <c r="AI3" t="s">
        <v>418</v>
      </c>
      <c r="AJ3" t="s">
        <v>795</v>
      </c>
      <c r="AK3" t="s">
        <v>42</v>
      </c>
      <c r="AL3" t="s">
        <v>171</v>
      </c>
      <c r="AM3" t="s">
        <v>1176</v>
      </c>
      <c r="AN3" t="s">
        <v>1841</v>
      </c>
      <c r="AO3" t="s">
        <v>733</v>
      </c>
      <c r="AP3" t="s">
        <v>491</v>
      </c>
      <c r="AQ3" t="s">
        <v>2691</v>
      </c>
      <c r="AS3" t="s">
        <v>2709</v>
      </c>
    </row>
    <row r="4" spans="1:45" x14ac:dyDescent="0.2">
      <c r="A4" t="s">
        <v>969</v>
      </c>
      <c r="B4" t="s">
        <v>605</v>
      </c>
      <c r="C4" t="s">
        <v>390</v>
      </c>
      <c r="D4" t="s">
        <v>653</v>
      </c>
      <c r="E4" t="s">
        <v>1480</v>
      </c>
      <c r="F4" t="s">
        <v>1533</v>
      </c>
      <c r="G4" t="s">
        <v>1323</v>
      </c>
      <c r="H4" t="s">
        <v>70</v>
      </c>
      <c r="I4" t="s">
        <v>1568</v>
      </c>
      <c r="J4" t="s">
        <v>719</v>
      </c>
      <c r="K4" t="s">
        <v>1806</v>
      </c>
      <c r="L4" t="s">
        <v>1671</v>
      </c>
      <c r="M4" t="s">
        <v>1076</v>
      </c>
      <c r="N4" t="s">
        <v>998</v>
      </c>
      <c r="O4" t="s">
        <v>1696</v>
      </c>
      <c r="P4" t="s">
        <v>980</v>
      </c>
      <c r="Q4" t="s">
        <v>1361</v>
      </c>
      <c r="R4" t="s">
        <v>280</v>
      </c>
      <c r="S4" t="s">
        <v>1750</v>
      </c>
      <c r="T4" t="s">
        <v>704</v>
      </c>
      <c r="U4" t="s">
        <v>571</v>
      </c>
      <c r="V4" t="s">
        <v>413</v>
      </c>
      <c r="W4" t="s">
        <v>2466</v>
      </c>
      <c r="X4" t="s">
        <v>347</v>
      </c>
      <c r="Y4" t="s">
        <v>1604</v>
      </c>
      <c r="Z4" t="s">
        <v>440</v>
      </c>
      <c r="AA4" t="s">
        <v>267</v>
      </c>
      <c r="AB4" t="s">
        <v>1267</v>
      </c>
      <c r="AC4" t="s">
        <v>133</v>
      </c>
      <c r="AD4" t="s">
        <v>597</v>
      </c>
      <c r="AE4" t="s">
        <v>1937</v>
      </c>
      <c r="AF4" t="s">
        <v>970</v>
      </c>
      <c r="AG4" t="s">
        <v>1975</v>
      </c>
      <c r="AH4" t="s">
        <v>254</v>
      </c>
      <c r="AI4" t="s">
        <v>419</v>
      </c>
      <c r="AJ4" t="s">
        <v>999</v>
      </c>
      <c r="AK4" t="s">
        <v>787</v>
      </c>
      <c r="AL4" t="s">
        <v>172</v>
      </c>
      <c r="AM4" t="s">
        <v>1177</v>
      </c>
      <c r="AN4" t="s">
        <v>1842</v>
      </c>
      <c r="AO4" t="s">
        <v>734</v>
      </c>
      <c r="AP4" t="s">
        <v>492</v>
      </c>
      <c r="AQ4" t="s">
        <v>2692</v>
      </c>
      <c r="AS4" t="s">
        <v>1058</v>
      </c>
    </row>
    <row r="5" spans="1:45" x14ac:dyDescent="0.2">
      <c r="A5" t="s">
        <v>806</v>
      </c>
      <c r="B5" t="s">
        <v>606</v>
      </c>
      <c r="C5" t="s">
        <v>391</v>
      </c>
      <c r="D5" t="s">
        <v>654</v>
      </c>
      <c r="E5" t="s">
        <v>1481</v>
      </c>
      <c r="F5" t="s">
        <v>1534</v>
      </c>
      <c r="G5" t="s">
        <v>1324</v>
      </c>
      <c r="H5" t="s">
        <v>71</v>
      </c>
      <c r="I5" t="s">
        <v>1569</v>
      </c>
      <c r="J5" t="s">
        <v>1976</v>
      </c>
      <c r="K5" t="s">
        <v>1807</v>
      </c>
      <c r="L5" t="s">
        <v>1672</v>
      </c>
      <c r="M5" t="s">
        <v>1077</v>
      </c>
      <c r="N5" t="s">
        <v>844</v>
      </c>
      <c r="O5" t="s">
        <v>1697</v>
      </c>
      <c r="P5" t="s">
        <v>843</v>
      </c>
      <c r="Q5" t="s">
        <v>1362</v>
      </c>
      <c r="R5" t="s">
        <v>281</v>
      </c>
      <c r="S5" t="s">
        <v>1751</v>
      </c>
      <c r="T5" t="s">
        <v>1302</v>
      </c>
      <c r="U5" t="s">
        <v>572</v>
      </c>
      <c r="V5" t="s">
        <v>414</v>
      </c>
      <c r="W5" t="s">
        <v>2467</v>
      </c>
      <c r="X5" t="s">
        <v>348</v>
      </c>
      <c r="Y5" t="s">
        <v>1605</v>
      </c>
      <c r="Z5" t="s">
        <v>441</v>
      </c>
      <c r="AA5" t="s">
        <v>1672</v>
      </c>
      <c r="AB5" t="s">
        <v>1126</v>
      </c>
      <c r="AC5" t="s">
        <v>134</v>
      </c>
      <c r="AD5" t="s">
        <v>598</v>
      </c>
      <c r="AE5" t="s">
        <v>1938</v>
      </c>
      <c r="AF5" t="s">
        <v>812</v>
      </c>
      <c r="AG5" t="s">
        <v>1976</v>
      </c>
      <c r="AH5" t="s">
        <v>255</v>
      </c>
      <c r="AI5" t="s">
        <v>420</v>
      </c>
      <c r="AJ5" t="s">
        <v>845</v>
      </c>
      <c r="AK5" t="s">
        <v>43</v>
      </c>
      <c r="AL5" t="s">
        <v>173</v>
      </c>
      <c r="AM5" t="s">
        <v>1178</v>
      </c>
      <c r="AN5" t="s">
        <v>1843</v>
      </c>
      <c r="AO5" t="s">
        <v>735</v>
      </c>
      <c r="AP5" t="s">
        <v>493</v>
      </c>
      <c r="AQ5" t="s">
        <v>2693</v>
      </c>
      <c r="AS5" t="s">
        <v>1055</v>
      </c>
    </row>
    <row r="6" spans="1:45" x14ac:dyDescent="0.2">
      <c r="A6" t="s">
        <v>807</v>
      </c>
      <c r="B6" t="s">
        <v>607</v>
      </c>
      <c r="C6" t="s">
        <v>392</v>
      </c>
      <c r="D6" t="s">
        <v>655</v>
      </c>
      <c r="E6" t="s">
        <v>1482</v>
      </c>
      <c r="F6" t="s">
        <v>1535</v>
      </c>
      <c r="G6" t="s">
        <v>1325</v>
      </c>
      <c r="H6" t="s">
        <v>72</v>
      </c>
      <c r="I6" t="s">
        <v>1570</v>
      </c>
      <c r="J6" t="s">
        <v>1977</v>
      </c>
      <c r="K6" t="s">
        <v>1808</v>
      </c>
      <c r="L6" t="s">
        <v>1673</v>
      </c>
      <c r="M6" t="s">
        <v>1078</v>
      </c>
      <c r="N6" t="s">
        <v>847</v>
      </c>
      <c r="O6" t="s">
        <v>1698</v>
      </c>
      <c r="P6" t="s">
        <v>846</v>
      </c>
      <c r="Q6" t="s">
        <v>1363</v>
      </c>
      <c r="R6" t="s">
        <v>282</v>
      </c>
      <c r="S6" t="s">
        <v>1752</v>
      </c>
      <c r="T6" t="s">
        <v>1303</v>
      </c>
      <c r="U6" t="s">
        <v>573</v>
      </c>
      <c r="V6" t="s">
        <v>1442</v>
      </c>
      <c r="W6" t="s">
        <v>1897</v>
      </c>
      <c r="X6" t="s">
        <v>349</v>
      </c>
      <c r="Y6" t="s">
        <v>1606</v>
      </c>
      <c r="Z6" t="s">
        <v>442</v>
      </c>
      <c r="AA6" t="s">
        <v>1673</v>
      </c>
      <c r="AB6" t="s">
        <v>1127</v>
      </c>
      <c r="AC6" t="s">
        <v>135</v>
      </c>
      <c r="AD6" t="s">
        <v>599</v>
      </c>
      <c r="AE6" t="s">
        <v>1673</v>
      </c>
      <c r="AF6" t="s">
        <v>813</v>
      </c>
      <c r="AG6" t="s">
        <v>1977</v>
      </c>
      <c r="AH6" t="s">
        <v>1808</v>
      </c>
      <c r="AI6" t="s">
        <v>421</v>
      </c>
      <c r="AJ6" t="s">
        <v>848</v>
      </c>
      <c r="AK6" t="s">
        <v>44</v>
      </c>
      <c r="AL6" t="s">
        <v>174</v>
      </c>
      <c r="AM6" t="s">
        <v>1179</v>
      </c>
      <c r="AN6" t="s">
        <v>1844</v>
      </c>
      <c r="AO6" t="s">
        <v>736</v>
      </c>
      <c r="AP6" t="s">
        <v>494</v>
      </c>
      <c r="AQ6" t="s">
        <v>2694</v>
      </c>
      <c r="AS6" t="s">
        <v>2417</v>
      </c>
    </row>
    <row r="7" spans="1:45" x14ac:dyDescent="0.2">
      <c r="A7" t="s">
        <v>838</v>
      </c>
      <c r="B7" t="s">
        <v>608</v>
      </c>
      <c r="C7" t="s">
        <v>393</v>
      </c>
      <c r="D7" t="s">
        <v>656</v>
      </c>
      <c r="E7" t="s">
        <v>1483</v>
      </c>
      <c r="F7" t="s">
        <v>1536</v>
      </c>
      <c r="G7" t="s">
        <v>1326</v>
      </c>
      <c r="H7" t="s">
        <v>73</v>
      </c>
      <c r="I7" t="s">
        <v>1571</v>
      </c>
      <c r="J7" t="s">
        <v>0</v>
      </c>
      <c r="K7" t="s">
        <v>1809</v>
      </c>
      <c r="L7" t="s">
        <v>1674</v>
      </c>
      <c r="M7" t="s">
        <v>1079</v>
      </c>
      <c r="N7" t="s">
        <v>849</v>
      </c>
      <c r="O7" t="s">
        <v>1699</v>
      </c>
      <c r="P7" t="s">
        <v>981</v>
      </c>
      <c r="Q7" t="s">
        <v>1364</v>
      </c>
      <c r="R7" t="s">
        <v>283</v>
      </c>
      <c r="S7" t="s">
        <v>1753</v>
      </c>
      <c r="T7" t="s">
        <v>705</v>
      </c>
      <c r="U7" t="s">
        <v>574</v>
      </c>
      <c r="V7" t="s">
        <v>415</v>
      </c>
      <c r="W7" t="s">
        <v>2468</v>
      </c>
      <c r="X7" t="s">
        <v>350</v>
      </c>
      <c r="Y7" t="s">
        <v>1607</v>
      </c>
      <c r="Z7" t="s">
        <v>443</v>
      </c>
      <c r="AA7" t="s">
        <v>268</v>
      </c>
      <c r="AB7" t="s">
        <v>1128</v>
      </c>
      <c r="AC7" t="s">
        <v>136</v>
      </c>
      <c r="AD7" t="s">
        <v>600</v>
      </c>
      <c r="AE7" t="s">
        <v>1939</v>
      </c>
      <c r="AF7" t="s">
        <v>814</v>
      </c>
      <c r="AG7" t="s">
        <v>0</v>
      </c>
      <c r="AH7" t="s">
        <v>256</v>
      </c>
      <c r="AI7" t="s">
        <v>422</v>
      </c>
      <c r="AJ7" t="s">
        <v>850</v>
      </c>
      <c r="AK7" t="s">
        <v>788</v>
      </c>
      <c r="AL7" t="s">
        <v>175</v>
      </c>
      <c r="AM7" t="s">
        <v>1180</v>
      </c>
      <c r="AN7" t="s">
        <v>1845</v>
      </c>
      <c r="AO7" t="s">
        <v>737</v>
      </c>
      <c r="AP7" t="s">
        <v>495</v>
      </c>
      <c r="AQ7" s="50" t="s">
        <v>2744</v>
      </c>
      <c r="AS7" t="s">
        <v>2722</v>
      </c>
    </row>
    <row r="8" spans="1:45" x14ac:dyDescent="0.2">
      <c r="A8" t="s">
        <v>805</v>
      </c>
      <c r="B8" t="s">
        <v>609</v>
      </c>
      <c r="C8" t="s">
        <v>394</v>
      </c>
      <c r="D8" t="s">
        <v>657</v>
      </c>
      <c r="E8" t="s">
        <v>805</v>
      </c>
      <c r="F8" t="s">
        <v>815</v>
      </c>
      <c r="G8" t="s">
        <v>805</v>
      </c>
      <c r="H8" t="s">
        <v>74</v>
      </c>
      <c r="I8" t="s">
        <v>1572</v>
      </c>
      <c r="J8" t="s">
        <v>851</v>
      </c>
      <c r="K8" t="s">
        <v>1810</v>
      </c>
      <c r="L8" t="s">
        <v>851</v>
      </c>
      <c r="M8" t="s">
        <v>851</v>
      </c>
      <c r="N8" t="s">
        <v>851</v>
      </c>
      <c r="O8" t="s">
        <v>1700</v>
      </c>
      <c r="P8" t="s">
        <v>851</v>
      </c>
      <c r="Q8" t="s">
        <v>1365</v>
      </c>
      <c r="R8" t="s">
        <v>284</v>
      </c>
      <c r="S8" t="s">
        <v>1754</v>
      </c>
      <c r="T8" t="s">
        <v>805</v>
      </c>
      <c r="U8" t="s">
        <v>575</v>
      </c>
      <c r="V8" t="s">
        <v>851</v>
      </c>
      <c r="W8" t="s">
        <v>1898</v>
      </c>
      <c r="X8" t="s">
        <v>330</v>
      </c>
      <c r="Y8" t="s">
        <v>1608</v>
      </c>
      <c r="Z8" t="s">
        <v>444</v>
      </c>
      <c r="AA8" t="s">
        <v>851</v>
      </c>
      <c r="AB8" t="s">
        <v>1129</v>
      </c>
      <c r="AC8" t="s">
        <v>137</v>
      </c>
      <c r="AD8" t="s">
        <v>805</v>
      </c>
      <c r="AE8" t="s">
        <v>1940</v>
      </c>
      <c r="AF8" t="s">
        <v>815</v>
      </c>
      <c r="AG8" t="s">
        <v>851</v>
      </c>
      <c r="AH8" t="s">
        <v>1810</v>
      </c>
      <c r="AI8" t="s">
        <v>851</v>
      </c>
      <c r="AJ8" t="s">
        <v>805</v>
      </c>
      <c r="AK8" t="s">
        <v>805</v>
      </c>
      <c r="AL8" t="s">
        <v>176</v>
      </c>
      <c r="AM8" t="s">
        <v>805</v>
      </c>
      <c r="AN8" t="s">
        <v>1846</v>
      </c>
      <c r="AO8" t="s">
        <v>738</v>
      </c>
      <c r="AP8" t="s">
        <v>496</v>
      </c>
      <c r="AQ8" t="s">
        <v>815</v>
      </c>
      <c r="AS8" t="s">
        <v>1068</v>
      </c>
    </row>
    <row r="9" spans="1:45" x14ac:dyDescent="0.2">
      <c r="A9" t="s">
        <v>811</v>
      </c>
      <c r="B9" t="s">
        <v>610</v>
      </c>
      <c r="C9" t="s">
        <v>1241</v>
      </c>
      <c r="D9" t="s">
        <v>658</v>
      </c>
      <c r="E9" t="s">
        <v>1484</v>
      </c>
      <c r="F9" t="s">
        <v>1537</v>
      </c>
      <c r="G9" t="s">
        <v>1181</v>
      </c>
      <c r="H9" t="s">
        <v>75</v>
      </c>
      <c r="I9" t="s">
        <v>1573</v>
      </c>
      <c r="J9" t="s">
        <v>1941</v>
      </c>
      <c r="K9" t="s">
        <v>1811</v>
      </c>
      <c r="L9" t="s">
        <v>852</v>
      </c>
      <c r="M9" t="s">
        <v>1080</v>
      </c>
      <c r="N9" t="s">
        <v>853</v>
      </c>
      <c r="O9" t="s">
        <v>1701</v>
      </c>
      <c r="P9" t="s">
        <v>852</v>
      </c>
      <c r="Q9" t="s">
        <v>1366</v>
      </c>
      <c r="R9" t="s">
        <v>285</v>
      </c>
      <c r="S9" t="s">
        <v>1755</v>
      </c>
      <c r="T9" t="s">
        <v>706</v>
      </c>
      <c r="U9" t="s">
        <v>576</v>
      </c>
      <c r="V9" t="s">
        <v>1443</v>
      </c>
      <c r="W9" t="s">
        <v>1899</v>
      </c>
      <c r="X9" t="s">
        <v>351</v>
      </c>
      <c r="Y9" t="s">
        <v>1537</v>
      </c>
      <c r="Z9" t="s">
        <v>45</v>
      </c>
      <c r="AA9" t="s">
        <v>852</v>
      </c>
      <c r="AB9" t="s">
        <v>1130</v>
      </c>
      <c r="AC9" t="s">
        <v>1941</v>
      </c>
      <c r="AD9" t="s">
        <v>854</v>
      </c>
      <c r="AE9" t="s">
        <v>1941</v>
      </c>
      <c r="AF9" t="s">
        <v>816</v>
      </c>
      <c r="AG9" t="s">
        <v>1941</v>
      </c>
      <c r="AH9" t="s">
        <v>1811</v>
      </c>
      <c r="AI9" t="s">
        <v>1811</v>
      </c>
      <c r="AJ9" t="s">
        <v>854</v>
      </c>
      <c r="AK9" t="s">
        <v>45</v>
      </c>
      <c r="AL9" t="s">
        <v>177</v>
      </c>
      <c r="AM9" t="s">
        <v>1181</v>
      </c>
      <c r="AN9" t="s">
        <v>1847</v>
      </c>
      <c r="AO9" t="s">
        <v>1537</v>
      </c>
      <c r="AP9" t="s">
        <v>491</v>
      </c>
      <c r="AQ9" t="s">
        <v>2695</v>
      </c>
      <c r="AS9" t="s">
        <v>1063</v>
      </c>
    </row>
    <row r="10" spans="1:45" x14ac:dyDescent="0.2">
      <c r="A10" t="s">
        <v>939</v>
      </c>
      <c r="B10" t="s">
        <v>798</v>
      </c>
      <c r="C10" t="s">
        <v>1242</v>
      </c>
      <c r="D10" t="s">
        <v>659</v>
      </c>
      <c r="E10" t="s">
        <v>1182</v>
      </c>
      <c r="F10" t="s">
        <v>1538</v>
      </c>
      <c r="G10" t="s">
        <v>941</v>
      </c>
      <c r="H10" t="s">
        <v>76</v>
      </c>
      <c r="I10" t="s">
        <v>1574</v>
      </c>
      <c r="J10" t="s">
        <v>939</v>
      </c>
      <c r="K10" t="s">
        <v>1812</v>
      </c>
      <c r="L10" t="s">
        <v>940</v>
      </c>
      <c r="M10" t="s">
        <v>1081</v>
      </c>
      <c r="N10" t="s">
        <v>941</v>
      </c>
      <c r="O10" t="s">
        <v>1702</v>
      </c>
      <c r="P10" t="s">
        <v>940</v>
      </c>
      <c r="Q10" t="s">
        <v>1367</v>
      </c>
      <c r="R10" t="s">
        <v>286</v>
      </c>
      <c r="S10" t="s">
        <v>1184</v>
      </c>
      <c r="T10" t="s">
        <v>1304</v>
      </c>
      <c r="U10" t="s">
        <v>798</v>
      </c>
      <c r="V10" t="s">
        <v>855</v>
      </c>
      <c r="W10" t="s">
        <v>1900</v>
      </c>
      <c r="X10" t="s">
        <v>352</v>
      </c>
      <c r="Y10" t="s">
        <v>1666</v>
      </c>
      <c r="Z10" t="s">
        <v>798</v>
      </c>
      <c r="AA10" t="s">
        <v>917</v>
      </c>
      <c r="AB10" t="s">
        <v>1131</v>
      </c>
      <c r="AC10" t="s">
        <v>1184</v>
      </c>
      <c r="AD10" t="s">
        <v>941</v>
      </c>
      <c r="AE10" t="s">
        <v>941</v>
      </c>
      <c r="AF10" t="s">
        <v>817</v>
      </c>
      <c r="AG10" t="s">
        <v>1</v>
      </c>
      <c r="AH10" t="s">
        <v>1812</v>
      </c>
      <c r="AI10" t="s">
        <v>939</v>
      </c>
      <c r="AJ10" t="s">
        <v>941</v>
      </c>
      <c r="AK10" t="s">
        <v>46</v>
      </c>
      <c r="AL10" t="s">
        <v>178</v>
      </c>
      <c r="AM10" t="s">
        <v>1182</v>
      </c>
      <c r="AN10" t="s">
        <v>1848</v>
      </c>
      <c r="AO10" t="s">
        <v>739</v>
      </c>
      <c r="AP10" t="s">
        <v>497</v>
      </c>
      <c r="AQ10" t="s">
        <v>2696</v>
      </c>
      <c r="AS10" t="s">
        <v>1061</v>
      </c>
    </row>
    <row r="11" spans="1:45" x14ac:dyDescent="0.2">
      <c r="A11" t="s">
        <v>796</v>
      </c>
      <c r="B11" t="s">
        <v>47</v>
      </c>
      <c r="C11" t="s">
        <v>1243</v>
      </c>
      <c r="D11" t="s">
        <v>660</v>
      </c>
      <c r="E11" t="s">
        <v>1485</v>
      </c>
      <c r="F11" t="s">
        <v>818</v>
      </c>
      <c r="G11" t="s">
        <v>855</v>
      </c>
      <c r="H11" t="s">
        <v>77</v>
      </c>
      <c r="I11" t="s">
        <v>1575</v>
      </c>
      <c r="J11" t="s">
        <v>796</v>
      </c>
      <c r="K11" t="s">
        <v>856</v>
      </c>
      <c r="L11" t="s">
        <v>856</v>
      </c>
      <c r="M11" t="s">
        <v>796</v>
      </c>
      <c r="N11" t="s">
        <v>856</v>
      </c>
      <c r="O11" t="s">
        <v>1703</v>
      </c>
      <c r="P11" t="s">
        <v>917</v>
      </c>
      <c r="Q11" t="s">
        <v>1368</v>
      </c>
      <c r="R11" t="s">
        <v>287</v>
      </c>
      <c r="S11" t="s">
        <v>1756</v>
      </c>
      <c r="T11" t="s">
        <v>1305</v>
      </c>
      <c r="U11" t="s">
        <v>269</v>
      </c>
      <c r="V11" t="s">
        <v>856</v>
      </c>
      <c r="W11" t="s">
        <v>1901</v>
      </c>
      <c r="X11" t="s">
        <v>798</v>
      </c>
      <c r="Y11" t="s">
        <v>818</v>
      </c>
      <c r="Z11" t="s">
        <v>967</v>
      </c>
      <c r="AA11" t="s">
        <v>856</v>
      </c>
      <c r="AB11" t="s">
        <v>1132</v>
      </c>
      <c r="AC11" t="s">
        <v>1812</v>
      </c>
      <c r="AD11" t="s">
        <v>856</v>
      </c>
      <c r="AE11" t="s">
        <v>856</v>
      </c>
      <c r="AF11" t="s">
        <v>819</v>
      </c>
      <c r="AG11" t="s">
        <v>857</v>
      </c>
      <c r="AH11" t="s">
        <v>856</v>
      </c>
      <c r="AI11" t="s">
        <v>796</v>
      </c>
      <c r="AJ11" t="s">
        <v>855</v>
      </c>
      <c r="AK11" t="s">
        <v>856</v>
      </c>
      <c r="AL11" t="s">
        <v>179</v>
      </c>
      <c r="AM11" t="s">
        <v>855</v>
      </c>
      <c r="AN11" t="s">
        <v>1676</v>
      </c>
      <c r="AO11" t="s">
        <v>819</v>
      </c>
      <c r="AP11" t="s">
        <v>498</v>
      </c>
      <c r="AQ11" t="s">
        <v>2697</v>
      </c>
      <c r="AS11" t="s">
        <v>2711</v>
      </c>
    </row>
    <row r="12" spans="1:45" x14ac:dyDescent="0.2">
      <c r="A12" t="s">
        <v>944</v>
      </c>
      <c r="B12" t="s">
        <v>611</v>
      </c>
      <c r="C12" t="s">
        <v>1244</v>
      </c>
      <c r="D12" t="s">
        <v>661</v>
      </c>
      <c r="E12" t="s">
        <v>1486</v>
      </c>
      <c r="F12" t="s">
        <v>1539</v>
      </c>
      <c r="G12" t="s">
        <v>1327</v>
      </c>
      <c r="H12" t="s">
        <v>78</v>
      </c>
      <c r="I12" t="s">
        <v>1576</v>
      </c>
      <c r="J12" t="s">
        <v>944</v>
      </c>
      <c r="K12" t="s">
        <v>967</v>
      </c>
      <c r="L12" t="s">
        <v>1675</v>
      </c>
      <c r="M12" t="s">
        <v>855</v>
      </c>
      <c r="N12" t="s">
        <v>944</v>
      </c>
      <c r="O12" t="s">
        <v>1704</v>
      </c>
      <c r="P12" t="s">
        <v>944</v>
      </c>
      <c r="Q12" t="s">
        <v>1369</v>
      </c>
      <c r="R12" t="s">
        <v>288</v>
      </c>
      <c r="S12" t="s">
        <v>797</v>
      </c>
      <c r="T12" t="s">
        <v>707</v>
      </c>
      <c r="U12" t="s">
        <v>577</v>
      </c>
      <c r="V12" t="s">
        <v>857</v>
      </c>
      <c r="W12" t="s">
        <v>1902</v>
      </c>
      <c r="X12" t="s">
        <v>353</v>
      </c>
      <c r="Y12" t="s">
        <v>945</v>
      </c>
      <c r="Z12" t="s">
        <v>1942</v>
      </c>
      <c r="AA12" t="s">
        <v>1676</v>
      </c>
      <c r="AB12" t="s">
        <v>1133</v>
      </c>
      <c r="AC12" t="s">
        <v>967</v>
      </c>
      <c r="AD12" t="s">
        <v>1327</v>
      </c>
      <c r="AE12" t="s">
        <v>1327</v>
      </c>
      <c r="AF12" t="s">
        <v>945</v>
      </c>
      <c r="AG12" t="s">
        <v>2</v>
      </c>
      <c r="AH12" t="s">
        <v>967</v>
      </c>
      <c r="AI12" t="s">
        <v>944</v>
      </c>
      <c r="AJ12" t="s">
        <v>944</v>
      </c>
      <c r="AK12" t="s">
        <v>1182</v>
      </c>
      <c r="AL12" t="s">
        <v>180</v>
      </c>
      <c r="AM12" t="s">
        <v>1183</v>
      </c>
      <c r="AN12" t="s">
        <v>1486</v>
      </c>
      <c r="AO12" t="s">
        <v>945</v>
      </c>
      <c r="AP12" t="s">
        <v>499</v>
      </c>
      <c r="AQ12" t="s">
        <v>2698</v>
      </c>
      <c r="AS12" t="s">
        <v>1072</v>
      </c>
    </row>
    <row r="13" spans="1:45" x14ac:dyDescent="0.2">
      <c r="A13" t="s">
        <v>798</v>
      </c>
      <c r="B13" t="s">
        <v>1486</v>
      </c>
      <c r="C13" t="s">
        <v>1245</v>
      </c>
      <c r="D13" t="s">
        <v>662</v>
      </c>
      <c r="E13" t="s">
        <v>1184</v>
      </c>
      <c r="F13" t="s">
        <v>1540</v>
      </c>
      <c r="G13" t="s">
        <v>857</v>
      </c>
      <c r="H13" t="s">
        <v>79</v>
      </c>
      <c r="I13" t="s">
        <v>1577</v>
      </c>
      <c r="J13" t="s">
        <v>798</v>
      </c>
      <c r="K13" t="s">
        <v>857</v>
      </c>
      <c r="L13" t="s">
        <v>1676</v>
      </c>
      <c r="M13" t="s">
        <v>856</v>
      </c>
      <c r="N13" t="s">
        <v>797</v>
      </c>
      <c r="O13" t="s">
        <v>1705</v>
      </c>
      <c r="P13" t="s">
        <v>918</v>
      </c>
      <c r="Q13" t="s">
        <v>1370</v>
      </c>
      <c r="R13" t="s">
        <v>289</v>
      </c>
      <c r="S13" t="s">
        <v>856</v>
      </c>
      <c r="T13" t="s">
        <v>1306</v>
      </c>
      <c r="U13" t="s">
        <v>1676</v>
      </c>
      <c r="V13" t="s">
        <v>917</v>
      </c>
      <c r="W13" t="s">
        <v>1903</v>
      </c>
      <c r="X13" t="s">
        <v>857</v>
      </c>
      <c r="Y13" t="s">
        <v>817</v>
      </c>
      <c r="Z13" t="s">
        <v>1676</v>
      </c>
      <c r="AA13" t="s">
        <v>269</v>
      </c>
      <c r="AB13" t="s">
        <v>1134</v>
      </c>
      <c r="AC13" t="s">
        <v>857</v>
      </c>
      <c r="AD13" t="s">
        <v>797</v>
      </c>
      <c r="AE13" t="s">
        <v>1942</v>
      </c>
      <c r="AF13" t="s">
        <v>818</v>
      </c>
      <c r="AG13" t="s">
        <v>1942</v>
      </c>
      <c r="AH13" t="s">
        <v>857</v>
      </c>
      <c r="AI13" t="s">
        <v>798</v>
      </c>
      <c r="AJ13" t="s">
        <v>857</v>
      </c>
      <c r="AK13" t="s">
        <v>47</v>
      </c>
      <c r="AL13" t="s">
        <v>181</v>
      </c>
      <c r="AM13" t="s">
        <v>1184</v>
      </c>
      <c r="AN13" t="s">
        <v>1183</v>
      </c>
      <c r="AO13" t="s">
        <v>818</v>
      </c>
      <c r="AP13" t="s">
        <v>500</v>
      </c>
      <c r="AQ13" t="s">
        <v>1538</v>
      </c>
      <c r="AS13" t="s">
        <v>1057</v>
      </c>
    </row>
    <row r="14" spans="1:45" x14ac:dyDescent="0.2">
      <c r="A14" t="s">
        <v>808</v>
      </c>
      <c r="B14" t="s">
        <v>612</v>
      </c>
      <c r="C14" t="s">
        <v>395</v>
      </c>
      <c r="D14" t="s">
        <v>663</v>
      </c>
      <c r="E14" t="s">
        <v>1487</v>
      </c>
      <c r="F14" t="s">
        <v>1541</v>
      </c>
      <c r="G14" t="s">
        <v>921</v>
      </c>
      <c r="H14" t="s">
        <v>80</v>
      </c>
      <c r="I14" t="s">
        <v>1578</v>
      </c>
      <c r="J14" t="s">
        <v>808</v>
      </c>
      <c r="K14" t="s">
        <v>1813</v>
      </c>
      <c r="L14" t="s">
        <v>1677</v>
      </c>
      <c r="M14" t="s">
        <v>1082</v>
      </c>
      <c r="N14" t="s">
        <v>920</v>
      </c>
      <c r="O14" t="s">
        <v>1706</v>
      </c>
      <c r="P14" t="s">
        <v>919</v>
      </c>
      <c r="Q14" t="s">
        <v>1371</v>
      </c>
      <c r="R14" t="s">
        <v>290</v>
      </c>
      <c r="S14" t="s">
        <v>1757</v>
      </c>
      <c r="T14" t="s">
        <v>708</v>
      </c>
      <c r="U14" t="s">
        <v>578</v>
      </c>
      <c r="V14" t="s">
        <v>416</v>
      </c>
      <c r="W14" t="s">
        <v>1904</v>
      </c>
      <c r="X14" t="s">
        <v>354</v>
      </c>
      <c r="Y14" t="s">
        <v>1667</v>
      </c>
      <c r="Z14" t="s">
        <v>786</v>
      </c>
      <c r="AA14" t="s">
        <v>270</v>
      </c>
      <c r="AB14" t="s">
        <v>1135</v>
      </c>
      <c r="AC14" t="s">
        <v>138</v>
      </c>
      <c r="AD14" t="s">
        <v>601</v>
      </c>
      <c r="AE14" t="s">
        <v>1943</v>
      </c>
      <c r="AF14" t="s">
        <v>820</v>
      </c>
      <c r="AG14" t="s">
        <v>3</v>
      </c>
      <c r="AH14" t="s">
        <v>257</v>
      </c>
      <c r="AI14" t="s">
        <v>808</v>
      </c>
      <c r="AJ14" t="s">
        <v>921</v>
      </c>
      <c r="AK14" t="s">
        <v>48</v>
      </c>
      <c r="AL14" t="s">
        <v>182</v>
      </c>
      <c r="AM14" t="s">
        <v>1185</v>
      </c>
      <c r="AN14" t="s">
        <v>1849</v>
      </c>
      <c r="AO14" t="s">
        <v>740</v>
      </c>
      <c r="AP14" t="s">
        <v>501</v>
      </c>
      <c r="AQ14" s="50" t="s">
        <v>2742</v>
      </c>
      <c r="AS14" t="s">
        <v>2710</v>
      </c>
    </row>
    <row r="15" spans="1:45" x14ac:dyDescent="0.2">
      <c r="A15" t="s">
        <v>935</v>
      </c>
      <c r="B15" t="s">
        <v>613</v>
      </c>
      <c r="C15" t="s">
        <v>1246</v>
      </c>
      <c r="D15" t="s">
        <v>664</v>
      </c>
      <c r="E15" t="s">
        <v>1488</v>
      </c>
      <c r="F15" t="s">
        <v>1542</v>
      </c>
      <c r="G15" t="s">
        <v>1328</v>
      </c>
      <c r="H15" t="s">
        <v>81</v>
      </c>
      <c r="I15" t="s">
        <v>1579</v>
      </c>
      <c r="J15" t="s">
        <v>935</v>
      </c>
      <c r="K15" t="s">
        <v>1814</v>
      </c>
      <c r="L15" t="s">
        <v>935</v>
      </c>
      <c r="M15" t="s">
        <v>935</v>
      </c>
      <c r="N15" t="s">
        <v>937</v>
      </c>
      <c r="O15" t="s">
        <v>1707</v>
      </c>
      <c r="P15" t="s">
        <v>936</v>
      </c>
      <c r="Q15" t="s">
        <v>1372</v>
      </c>
      <c r="R15" t="s">
        <v>291</v>
      </c>
      <c r="S15" t="s">
        <v>935</v>
      </c>
      <c r="T15" t="s">
        <v>709</v>
      </c>
      <c r="U15" t="s">
        <v>579</v>
      </c>
      <c r="V15" t="s">
        <v>1444</v>
      </c>
      <c r="W15" t="s">
        <v>1905</v>
      </c>
      <c r="X15" t="s">
        <v>355</v>
      </c>
      <c r="Y15" t="s">
        <v>1668</v>
      </c>
      <c r="Z15" t="s">
        <v>857</v>
      </c>
      <c r="AA15" t="s">
        <v>857</v>
      </c>
      <c r="AB15" t="s">
        <v>1136</v>
      </c>
      <c r="AC15" t="s">
        <v>139</v>
      </c>
      <c r="AD15" t="s">
        <v>857</v>
      </c>
      <c r="AE15" t="s">
        <v>857</v>
      </c>
      <c r="AF15" t="s">
        <v>938</v>
      </c>
      <c r="AG15" t="s">
        <v>4</v>
      </c>
      <c r="AH15" t="s">
        <v>1814</v>
      </c>
      <c r="AI15" t="s">
        <v>935</v>
      </c>
      <c r="AJ15" t="s">
        <v>937</v>
      </c>
      <c r="AK15" t="s">
        <v>857</v>
      </c>
      <c r="AL15" t="s">
        <v>183</v>
      </c>
      <c r="AM15" t="s">
        <v>857</v>
      </c>
      <c r="AN15" t="s">
        <v>1850</v>
      </c>
      <c r="AO15" t="s">
        <v>1666</v>
      </c>
      <c r="AP15" t="s">
        <v>502</v>
      </c>
      <c r="AQ15" t="s">
        <v>2699</v>
      </c>
      <c r="AS15" t="s">
        <v>2708</v>
      </c>
    </row>
    <row r="16" spans="1:45" x14ac:dyDescent="0.2">
      <c r="AS16" t="s">
        <v>1070</v>
      </c>
    </row>
    <row r="17" spans="1:45" x14ac:dyDescent="0.2">
      <c r="AS17" t="s">
        <v>1067</v>
      </c>
    </row>
    <row r="18" spans="1:45" x14ac:dyDescent="0.2">
      <c r="A18" t="s">
        <v>907</v>
      </c>
      <c r="B18" t="s">
        <v>614</v>
      </c>
      <c r="C18" t="s">
        <v>1247</v>
      </c>
      <c r="D18" t="s">
        <v>665</v>
      </c>
      <c r="E18" t="s">
        <v>1183</v>
      </c>
      <c r="F18" t="s">
        <v>1543</v>
      </c>
      <c r="G18" t="s">
        <v>1329</v>
      </c>
      <c r="H18" t="s">
        <v>82</v>
      </c>
      <c r="I18" t="s">
        <v>907</v>
      </c>
      <c r="J18" t="s">
        <v>5</v>
      </c>
      <c r="K18" t="s">
        <v>1815</v>
      </c>
      <c r="L18" t="s">
        <v>1678</v>
      </c>
      <c r="M18" t="s">
        <v>1083</v>
      </c>
      <c r="N18" t="s">
        <v>907</v>
      </c>
      <c r="O18" t="s">
        <v>1708</v>
      </c>
      <c r="P18" t="s">
        <v>907</v>
      </c>
      <c r="Q18" t="s">
        <v>1373</v>
      </c>
      <c r="R18" t="s">
        <v>292</v>
      </c>
      <c r="S18" t="s">
        <v>1758</v>
      </c>
      <c r="T18" t="s">
        <v>710</v>
      </c>
      <c r="U18" t="s">
        <v>907</v>
      </c>
      <c r="V18" t="s">
        <v>1445</v>
      </c>
      <c r="W18" t="s">
        <v>1906</v>
      </c>
      <c r="X18" t="s">
        <v>356</v>
      </c>
      <c r="Y18" t="s">
        <v>1543</v>
      </c>
      <c r="Z18" t="s">
        <v>445</v>
      </c>
      <c r="AA18" t="s">
        <v>1678</v>
      </c>
      <c r="AB18" t="s">
        <v>1137</v>
      </c>
      <c r="AC18" t="s">
        <v>140</v>
      </c>
      <c r="AD18" t="s">
        <v>1445</v>
      </c>
      <c r="AE18" t="s">
        <v>1944</v>
      </c>
      <c r="AF18" t="s">
        <v>900</v>
      </c>
      <c r="AG18" t="s">
        <v>5</v>
      </c>
      <c r="AH18" t="s">
        <v>1815</v>
      </c>
      <c r="AI18" t="s">
        <v>5</v>
      </c>
      <c r="AJ18" t="s">
        <v>907</v>
      </c>
      <c r="AK18" t="s">
        <v>49</v>
      </c>
      <c r="AL18" t="s">
        <v>184</v>
      </c>
      <c r="AM18" t="s">
        <v>1186</v>
      </c>
      <c r="AN18" t="s">
        <v>1851</v>
      </c>
      <c r="AO18" t="s">
        <v>741</v>
      </c>
      <c r="AP18" t="s">
        <v>503</v>
      </c>
      <c r="AQ18" t="s">
        <v>2700</v>
      </c>
      <c r="AS18" t="s">
        <v>1066</v>
      </c>
    </row>
    <row r="19" spans="1:45" x14ac:dyDescent="0.2">
      <c r="A19" t="s">
        <v>908</v>
      </c>
      <c r="B19" t="s">
        <v>615</v>
      </c>
      <c r="C19" t="s">
        <v>1248</v>
      </c>
      <c r="D19" t="s">
        <v>666</v>
      </c>
      <c r="E19" t="s">
        <v>1489</v>
      </c>
      <c r="F19" t="s">
        <v>1544</v>
      </c>
      <c r="G19" t="s">
        <v>1330</v>
      </c>
      <c r="H19" t="s">
        <v>83</v>
      </c>
      <c r="I19" t="s">
        <v>908</v>
      </c>
      <c r="J19" t="s">
        <v>6</v>
      </c>
      <c r="K19" t="s">
        <v>1816</v>
      </c>
      <c r="L19" t="s">
        <v>1679</v>
      </c>
      <c r="M19" t="s">
        <v>1084</v>
      </c>
      <c r="N19" t="s">
        <v>908</v>
      </c>
      <c r="O19" t="s">
        <v>1709</v>
      </c>
      <c r="P19" t="s">
        <v>908</v>
      </c>
      <c r="Q19" t="s">
        <v>1374</v>
      </c>
      <c r="R19" t="s">
        <v>293</v>
      </c>
      <c r="S19" t="s">
        <v>1759</v>
      </c>
      <c r="T19" t="s">
        <v>1307</v>
      </c>
      <c r="U19" t="s">
        <v>580</v>
      </c>
      <c r="V19" t="s">
        <v>1446</v>
      </c>
      <c r="W19" t="s">
        <v>1907</v>
      </c>
      <c r="X19" t="s">
        <v>357</v>
      </c>
      <c r="Y19" t="s">
        <v>1544</v>
      </c>
      <c r="Z19" t="s">
        <v>446</v>
      </c>
      <c r="AA19" t="s">
        <v>1679</v>
      </c>
      <c r="AB19" t="s">
        <v>1138</v>
      </c>
      <c r="AC19" t="s">
        <v>141</v>
      </c>
      <c r="AD19" t="s">
        <v>1651</v>
      </c>
      <c r="AE19" t="s">
        <v>1446</v>
      </c>
      <c r="AF19" t="s">
        <v>901</v>
      </c>
      <c r="AG19" t="s">
        <v>6</v>
      </c>
      <c r="AH19" t="s">
        <v>1816</v>
      </c>
      <c r="AI19" t="s">
        <v>6</v>
      </c>
      <c r="AJ19" t="s">
        <v>908</v>
      </c>
      <c r="AK19" t="s">
        <v>50</v>
      </c>
      <c r="AL19" t="s">
        <v>185</v>
      </c>
      <c r="AM19" t="s">
        <v>1187</v>
      </c>
      <c r="AN19" t="s">
        <v>1852</v>
      </c>
      <c r="AO19" t="s">
        <v>901</v>
      </c>
      <c r="AP19" t="s">
        <v>504</v>
      </c>
      <c r="AQ19" t="s">
        <v>2701</v>
      </c>
      <c r="AS19" t="s">
        <v>2262</v>
      </c>
    </row>
    <row r="20" spans="1:45" x14ac:dyDescent="0.2">
      <c r="A20" t="s">
        <v>909</v>
      </c>
      <c r="B20" t="s">
        <v>914</v>
      </c>
      <c r="C20" t="s">
        <v>1249</v>
      </c>
      <c r="D20" t="s">
        <v>667</v>
      </c>
      <c r="E20" t="s">
        <v>1490</v>
      </c>
      <c r="F20" t="s">
        <v>902</v>
      </c>
      <c r="G20" t="s">
        <v>1331</v>
      </c>
      <c r="H20" t="s">
        <v>84</v>
      </c>
      <c r="I20" t="s">
        <v>909</v>
      </c>
      <c r="J20" t="s">
        <v>7</v>
      </c>
      <c r="K20" t="s">
        <v>1817</v>
      </c>
      <c r="L20" t="s">
        <v>1680</v>
      </c>
      <c r="M20" t="s">
        <v>1085</v>
      </c>
      <c r="N20" t="s">
        <v>909</v>
      </c>
      <c r="O20" t="s">
        <v>1710</v>
      </c>
      <c r="P20" t="s">
        <v>909</v>
      </c>
      <c r="Q20" t="s">
        <v>1375</v>
      </c>
      <c r="R20" t="s">
        <v>294</v>
      </c>
      <c r="S20" t="s">
        <v>1760</v>
      </c>
      <c r="T20" t="s">
        <v>1308</v>
      </c>
      <c r="U20" t="s">
        <v>581</v>
      </c>
      <c r="V20" t="s">
        <v>914</v>
      </c>
      <c r="W20" t="s">
        <v>1908</v>
      </c>
      <c r="X20" t="s">
        <v>358</v>
      </c>
      <c r="Y20" t="s">
        <v>1609</v>
      </c>
      <c r="Z20" t="s">
        <v>447</v>
      </c>
      <c r="AA20" t="s">
        <v>271</v>
      </c>
      <c r="AB20" t="s">
        <v>1139</v>
      </c>
      <c r="AC20" t="s">
        <v>142</v>
      </c>
      <c r="AD20" t="s">
        <v>1652</v>
      </c>
      <c r="AE20" t="s">
        <v>914</v>
      </c>
      <c r="AF20" t="s">
        <v>902</v>
      </c>
      <c r="AG20" t="s">
        <v>7</v>
      </c>
      <c r="AH20" t="s">
        <v>258</v>
      </c>
      <c r="AI20" t="s">
        <v>1682</v>
      </c>
      <c r="AJ20" t="s">
        <v>909</v>
      </c>
      <c r="AK20" t="s">
        <v>51</v>
      </c>
      <c r="AL20" t="s">
        <v>186</v>
      </c>
      <c r="AM20" t="s">
        <v>1188</v>
      </c>
      <c r="AN20" t="s">
        <v>1853</v>
      </c>
      <c r="AO20" t="s">
        <v>902</v>
      </c>
      <c r="AP20" t="s">
        <v>505</v>
      </c>
      <c r="AQ20" t="s">
        <v>2702</v>
      </c>
      <c r="AS20" t="s">
        <v>2311</v>
      </c>
    </row>
    <row r="21" spans="1:45" x14ac:dyDescent="0.2">
      <c r="A21" t="s">
        <v>910</v>
      </c>
      <c r="B21" t="s">
        <v>616</v>
      </c>
      <c r="C21" t="s">
        <v>396</v>
      </c>
      <c r="D21" t="s">
        <v>668</v>
      </c>
      <c r="E21" t="s">
        <v>1491</v>
      </c>
      <c r="F21" t="s">
        <v>1545</v>
      </c>
      <c r="G21" t="s">
        <v>1332</v>
      </c>
      <c r="H21" t="s">
        <v>85</v>
      </c>
      <c r="I21" t="s">
        <v>910</v>
      </c>
      <c r="J21" t="s">
        <v>720</v>
      </c>
      <c r="K21" t="s">
        <v>1818</v>
      </c>
      <c r="L21" t="s">
        <v>1681</v>
      </c>
      <c r="M21" t="s">
        <v>1086</v>
      </c>
      <c r="N21" t="s">
        <v>910</v>
      </c>
      <c r="O21" t="s">
        <v>1711</v>
      </c>
      <c r="P21" t="s">
        <v>910</v>
      </c>
      <c r="Q21" t="s">
        <v>1376</v>
      </c>
      <c r="R21" t="s">
        <v>295</v>
      </c>
      <c r="S21" t="s">
        <v>1761</v>
      </c>
      <c r="T21" t="s">
        <v>1309</v>
      </c>
      <c r="U21" t="s">
        <v>582</v>
      </c>
      <c r="V21" t="s">
        <v>1447</v>
      </c>
      <c r="W21" t="s">
        <v>1909</v>
      </c>
      <c r="X21" t="s">
        <v>359</v>
      </c>
      <c r="Y21" t="s">
        <v>1610</v>
      </c>
      <c r="Z21" t="s">
        <v>448</v>
      </c>
      <c r="AA21" t="s">
        <v>1681</v>
      </c>
      <c r="AB21" t="s">
        <v>1140</v>
      </c>
      <c r="AC21" t="s">
        <v>143</v>
      </c>
      <c r="AD21" t="s">
        <v>1653</v>
      </c>
      <c r="AE21" t="s">
        <v>1945</v>
      </c>
      <c r="AF21" t="s">
        <v>903</v>
      </c>
      <c r="AG21" t="s">
        <v>8</v>
      </c>
      <c r="AH21" t="s">
        <v>1818</v>
      </c>
      <c r="AI21" t="s">
        <v>8</v>
      </c>
      <c r="AJ21" t="s">
        <v>910</v>
      </c>
      <c r="AK21" t="s">
        <v>1681</v>
      </c>
      <c r="AL21" t="s">
        <v>187</v>
      </c>
      <c r="AM21" t="s">
        <v>1189</v>
      </c>
      <c r="AN21" t="s">
        <v>1854</v>
      </c>
      <c r="AO21" t="s">
        <v>903</v>
      </c>
      <c r="AP21" t="s">
        <v>506</v>
      </c>
      <c r="AQ21" t="s">
        <v>2703</v>
      </c>
      <c r="AS21" t="s">
        <v>2723</v>
      </c>
    </row>
    <row r="22" spans="1:45" x14ac:dyDescent="0.2">
      <c r="A22" t="s">
        <v>911</v>
      </c>
      <c r="B22" t="s">
        <v>617</v>
      </c>
      <c r="C22" t="s">
        <v>1250</v>
      </c>
      <c r="D22" t="s">
        <v>669</v>
      </c>
      <c r="E22" t="s">
        <v>1492</v>
      </c>
      <c r="F22" t="s">
        <v>1546</v>
      </c>
      <c r="G22" t="s">
        <v>1333</v>
      </c>
      <c r="H22" t="s">
        <v>86</v>
      </c>
      <c r="I22" t="s">
        <v>911</v>
      </c>
      <c r="J22" t="s">
        <v>9</v>
      </c>
      <c r="K22" t="s">
        <v>1819</v>
      </c>
      <c r="L22" t="s">
        <v>1682</v>
      </c>
      <c r="M22" t="s">
        <v>1087</v>
      </c>
      <c r="N22" t="s">
        <v>911</v>
      </c>
      <c r="O22" t="s">
        <v>1712</v>
      </c>
      <c r="P22" t="s">
        <v>911</v>
      </c>
      <c r="Q22" t="s">
        <v>1377</v>
      </c>
      <c r="R22" t="s">
        <v>296</v>
      </c>
      <c r="S22" t="s">
        <v>1762</v>
      </c>
      <c r="T22" t="s">
        <v>1310</v>
      </c>
      <c r="U22" t="s">
        <v>583</v>
      </c>
      <c r="V22" t="s">
        <v>1448</v>
      </c>
      <c r="W22" t="s">
        <v>1910</v>
      </c>
      <c r="X22" t="s">
        <v>360</v>
      </c>
      <c r="Y22" t="s">
        <v>1611</v>
      </c>
      <c r="Z22" t="s">
        <v>449</v>
      </c>
      <c r="AA22" t="s">
        <v>272</v>
      </c>
      <c r="AB22" t="s">
        <v>1141</v>
      </c>
      <c r="AC22" t="s">
        <v>144</v>
      </c>
      <c r="AD22" t="s">
        <v>1654</v>
      </c>
      <c r="AE22" t="s">
        <v>1946</v>
      </c>
      <c r="AF22" t="s">
        <v>904</v>
      </c>
      <c r="AG22" t="s">
        <v>9</v>
      </c>
      <c r="AH22" t="s">
        <v>259</v>
      </c>
      <c r="AI22" t="s">
        <v>9</v>
      </c>
      <c r="AJ22" t="s">
        <v>911</v>
      </c>
      <c r="AK22" t="s">
        <v>1682</v>
      </c>
      <c r="AL22" t="s">
        <v>188</v>
      </c>
      <c r="AM22" t="s">
        <v>1190</v>
      </c>
      <c r="AN22" t="s">
        <v>1855</v>
      </c>
      <c r="AO22" t="s">
        <v>904</v>
      </c>
      <c r="AP22" t="s">
        <v>507</v>
      </c>
      <c r="AQ22" t="s">
        <v>2704</v>
      </c>
      <c r="AS22" t="s">
        <v>1052</v>
      </c>
    </row>
    <row r="23" spans="1:45" x14ac:dyDescent="0.2">
      <c r="A23" t="s">
        <v>912</v>
      </c>
      <c r="B23" t="s">
        <v>618</v>
      </c>
      <c r="C23" t="s">
        <v>1251</v>
      </c>
      <c r="D23" t="s">
        <v>670</v>
      </c>
      <c r="E23" t="s">
        <v>1493</v>
      </c>
      <c r="F23" t="s">
        <v>1547</v>
      </c>
      <c r="G23" t="s">
        <v>1334</v>
      </c>
      <c r="H23" t="s">
        <v>87</v>
      </c>
      <c r="I23" t="s">
        <v>912</v>
      </c>
      <c r="J23" t="s">
        <v>10</v>
      </c>
      <c r="K23" t="s">
        <v>1820</v>
      </c>
      <c r="L23" t="s">
        <v>1683</v>
      </c>
      <c r="M23" t="s">
        <v>1088</v>
      </c>
      <c r="N23" t="s">
        <v>912</v>
      </c>
      <c r="O23" t="s">
        <v>1713</v>
      </c>
      <c r="P23" t="s">
        <v>912</v>
      </c>
      <c r="Q23" t="s">
        <v>1378</v>
      </c>
      <c r="R23" t="s">
        <v>297</v>
      </c>
      <c r="S23" t="s">
        <v>1763</v>
      </c>
      <c r="T23" t="s">
        <v>1311</v>
      </c>
      <c r="U23" t="s">
        <v>584</v>
      </c>
      <c r="V23" t="s">
        <v>1449</v>
      </c>
      <c r="W23" t="s">
        <v>1911</v>
      </c>
      <c r="X23" t="s">
        <v>361</v>
      </c>
      <c r="Y23" t="s">
        <v>1547</v>
      </c>
      <c r="Z23" t="s">
        <v>450</v>
      </c>
      <c r="AA23" t="s">
        <v>1683</v>
      </c>
      <c r="AB23" t="s">
        <v>1142</v>
      </c>
      <c r="AC23" t="s">
        <v>145</v>
      </c>
      <c r="AD23" t="s">
        <v>1655</v>
      </c>
      <c r="AE23" t="s">
        <v>1947</v>
      </c>
      <c r="AF23" t="s">
        <v>905</v>
      </c>
      <c r="AG23" t="s">
        <v>10</v>
      </c>
      <c r="AH23" t="s">
        <v>260</v>
      </c>
      <c r="AI23" t="s">
        <v>10</v>
      </c>
      <c r="AJ23" t="s">
        <v>912</v>
      </c>
      <c r="AK23" t="s">
        <v>1683</v>
      </c>
      <c r="AL23" t="s">
        <v>189</v>
      </c>
      <c r="AM23" t="s">
        <v>1191</v>
      </c>
      <c r="AN23" t="s">
        <v>1856</v>
      </c>
      <c r="AO23" t="s">
        <v>905</v>
      </c>
      <c r="AP23" t="s">
        <v>508</v>
      </c>
      <c r="AQ23" t="s">
        <v>2705</v>
      </c>
      <c r="AS23" t="s">
        <v>1056</v>
      </c>
    </row>
    <row r="24" spans="1:45" x14ac:dyDescent="0.2">
      <c r="A24" t="s">
        <v>913</v>
      </c>
      <c r="B24" t="s">
        <v>619</v>
      </c>
      <c r="C24" t="s">
        <v>1252</v>
      </c>
      <c r="D24" t="s">
        <v>671</v>
      </c>
      <c r="E24" t="s">
        <v>1494</v>
      </c>
      <c r="F24" t="s">
        <v>1548</v>
      </c>
      <c r="G24" t="s">
        <v>1335</v>
      </c>
      <c r="H24" t="s">
        <v>88</v>
      </c>
      <c r="I24" t="s">
        <v>913</v>
      </c>
      <c r="J24" t="s">
        <v>11</v>
      </c>
      <c r="K24" t="s">
        <v>1821</v>
      </c>
      <c r="L24" t="s">
        <v>1684</v>
      </c>
      <c r="M24" t="s">
        <v>1089</v>
      </c>
      <c r="N24" t="s">
        <v>913</v>
      </c>
      <c r="O24" t="s">
        <v>1714</v>
      </c>
      <c r="P24" t="s">
        <v>913</v>
      </c>
      <c r="Q24" t="s">
        <v>1379</v>
      </c>
      <c r="R24" t="s">
        <v>298</v>
      </c>
      <c r="S24" t="s">
        <v>1764</v>
      </c>
      <c r="T24" t="s">
        <v>1312</v>
      </c>
      <c r="U24" t="s">
        <v>585</v>
      </c>
      <c r="V24" t="s">
        <v>1312</v>
      </c>
      <c r="W24" t="s">
        <v>1912</v>
      </c>
      <c r="X24" t="s">
        <v>362</v>
      </c>
      <c r="Y24" t="s">
        <v>1612</v>
      </c>
      <c r="Z24" t="s">
        <v>451</v>
      </c>
      <c r="AA24" t="s">
        <v>1684</v>
      </c>
      <c r="AB24" t="s">
        <v>1143</v>
      </c>
      <c r="AC24" t="s">
        <v>1821</v>
      </c>
      <c r="AD24" t="s">
        <v>1312</v>
      </c>
      <c r="AE24" t="s">
        <v>1948</v>
      </c>
      <c r="AF24" t="s">
        <v>906</v>
      </c>
      <c r="AG24" t="s">
        <v>11</v>
      </c>
      <c r="AH24" t="s">
        <v>1821</v>
      </c>
      <c r="AI24" t="s">
        <v>423</v>
      </c>
      <c r="AJ24" t="s">
        <v>913</v>
      </c>
      <c r="AK24" t="s">
        <v>52</v>
      </c>
      <c r="AL24" t="s">
        <v>190</v>
      </c>
      <c r="AM24" t="s">
        <v>1192</v>
      </c>
      <c r="AN24" t="s">
        <v>1857</v>
      </c>
      <c r="AO24" t="s">
        <v>906</v>
      </c>
      <c r="AP24" t="s">
        <v>509</v>
      </c>
      <c r="AQ24" t="s">
        <v>2706</v>
      </c>
      <c r="AS24" t="s">
        <v>1069</v>
      </c>
    </row>
    <row r="25" spans="1:45" x14ac:dyDescent="0.2">
      <c r="A25" t="s">
        <v>858</v>
      </c>
      <c r="B25" t="s">
        <v>858</v>
      </c>
      <c r="C25" t="s">
        <v>397</v>
      </c>
      <c r="D25" t="s">
        <v>672</v>
      </c>
      <c r="E25" t="s">
        <v>1495</v>
      </c>
      <c r="F25" t="s">
        <v>1549</v>
      </c>
      <c r="G25" t="s">
        <v>1336</v>
      </c>
      <c r="H25" t="s">
        <v>89</v>
      </c>
      <c r="I25" t="s">
        <v>858</v>
      </c>
      <c r="J25" t="s">
        <v>721</v>
      </c>
      <c r="K25" t="s">
        <v>858</v>
      </c>
      <c r="L25" t="s">
        <v>858</v>
      </c>
      <c r="M25" t="s">
        <v>858</v>
      </c>
      <c r="N25" t="s">
        <v>922</v>
      </c>
      <c r="O25" t="s">
        <v>1715</v>
      </c>
      <c r="P25" t="s">
        <v>858</v>
      </c>
      <c r="Q25" t="s">
        <v>1380</v>
      </c>
      <c r="R25" t="s">
        <v>299</v>
      </c>
      <c r="S25" t="s">
        <v>858</v>
      </c>
      <c r="T25" t="s">
        <v>858</v>
      </c>
      <c r="U25" t="s">
        <v>858</v>
      </c>
      <c r="V25" t="s">
        <v>1336</v>
      </c>
      <c r="W25" t="s">
        <v>2469</v>
      </c>
      <c r="X25" t="s">
        <v>363</v>
      </c>
      <c r="Y25" t="s">
        <v>1613</v>
      </c>
      <c r="Z25" t="s">
        <v>858</v>
      </c>
      <c r="AA25" t="s">
        <v>858</v>
      </c>
      <c r="AB25" t="s">
        <v>1144</v>
      </c>
      <c r="AC25" t="s">
        <v>146</v>
      </c>
      <c r="AD25" t="s">
        <v>858</v>
      </c>
      <c r="AE25" t="s">
        <v>1949</v>
      </c>
      <c r="AF25" t="s">
        <v>821</v>
      </c>
      <c r="AG25" t="s">
        <v>858</v>
      </c>
      <c r="AH25" t="s">
        <v>858</v>
      </c>
      <c r="AI25" t="s">
        <v>858</v>
      </c>
      <c r="AJ25" t="s">
        <v>923</v>
      </c>
      <c r="AK25" t="s">
        <v>53</v>
      </c>
      <c r="AL25" t="s">
        <v>191</v>
      </c>
      <c r="AM25" t="s">
        <v>1193</v>
      </c>
      <c r="AN25" t="s">
        <v>1858</v>
      </c>
      <c r="AO25" t="s">
        <v>742</v>
      </c>
      <c r="AP25" t="s">
        <v>510</v>
      </c>
      <c r="AQ25" t="s">
        <v>821</v>
      </c>
      <c r="AS25" t="s">
        <v>2150</v>
      </c>
    </row>
    <row r="26" spans="1:45" x14ac:dyDescent="0.2">
      <c r="A26" t="s">
        <v>859</v>
      </c>
      <c r="B26" t="s">
        <v>620</v>
      </c>
      <c r="C26" t="s">
        <v>398</v>
      </c>
      <c r="D26" t="s">
        <v>673</v>
      </c>
      <c r="E26" t="s">
        <v>1496</v>
      </c>
      <c r="F26" t="s">
        <v>1550</v>
      </c>
      <c r="G26" t="s">
        <v>859</v>
      </c>
      <c r="H26" t="s">
        <v>90</v>
      </c>
      <c r="I26" t="s">
        <v>859</v>
      </c>
      <c r="J26" t="s">
        <v>722</v>
      </c>
      <c r="K26" t="s">
        <v>859</v>
      </c>
      <c r="L26" t="s">
        <v>859</v>
      </c>
      <c r="M26" t="s">
        <v>859</v>
      </c>
      <c r="N26" t="s">
        <v>924</v>
      </c>
      <c r="O26" t="s">
        <v>1716</v>
      </c>
      <c r="P26" t="s">
        <v>859</v>
      </c>
      <c r="Q26" t="s">
        <v>1381</v>
      </c>
      <c r="R26" t="s">
        <v>300</v>
      </c>
      <c r="S26" t="s">
        <v>859</v>
      </c>
      <c r="T26" t="s">
        <v>711</v>
      </c>
      <c r="U26" t="s">
        <v>859</v>
      </c>
      <c r="V26" t="s">
        <v>859</v>
      </c>
      <c r="W26" t="s">
        <v>2470</v>
      </c>
      <c r="X26" t="s">
        <v>1758</v>
      </c>
      <c r="Y26" t="s">
        <v>822</v>
      </c>
      <c r="Z26" t="s">
        <v>452</v>
      </c>
      <c r="AA26" t="s">
        <v>859</v>
      </c>
      <c r="AB26" t="s">
        <v>1145</v>
      </c>
      <c r="AC26" t="s">
        <v>147</v>
      </c>
      <c r="AD26" t="s">
        <v>1496</v>
      </c>
      <c r="AE26" t="s">
        <v>859</v>
      </c>
      <c r="AF26" t="s">
        <v>822</v>
      </c>
      <c r="AG26" t="s">
        <v>859</v>
      </c>
      <c r="AH26" t="s">
        <v>859</v>
      </c>
      <c r="AI26" t="s">
        <v>859</v>
      </c>
      <c r="AJ26" t="s">
        <v>859</v>
      </c>
      <c r="AK26" t="s">
        <v>859</v>
      </c>
      <c r="AL26" t="s">
        <v>192</v>
      </c>
      <c r="AM26" t="s">
        <v>1194</v>
      </c>
      <c r="AN26" t="s">
        <v>1859</v>
      </c>
      <c r="AO26" t="s">
        <v>743</v>
      </c>
      <c r="AP26" t="s">
        <v>511</v>
      </c>
      <c r="AQ26" t="s">
        <v>822</v>
      </c>
      <c r="AS26" t="s">
        <v>1053</v>
      </c>
    </row>
    <row r="27" spans="1:45" x14ac:dyDescent="0.2">
      <c r="A27" t="s">
        <v>914</v>
      </c>
      <c r="B27" t="s">
        <v>914</v>
      </c>
      <c r="C27" t="s">
        <v>399</v>
      </c>
      <c r="D27" t="s">
        <v>674</v>
      </c>
      <c r="E27" t="s">
        <v>914</v>
      </c>
      <c r="F27" t="s">
        <v>1551</v>
      </c>
      <c r="G27" t="s">
        <v>914</v>
      </c>
      <c r="H27" t="s">
        <v>91</v>
      </c>
      <c r="I27" t="s">
        <v>914</v>
      </c>
      <c r="J27" t="s">
        <v>723</v>
      </c>
      <c r="K27" t="s">
        <v>914</v>
      </c>
      <c r="L27" t="s">
        <v>914</v>
      </c>
      <c r="M27" t="s">
        <v>1090</v>
      </c>
      <c r="N27" t="s">
        <v>926</v>
      </c>
      <c r="O27" t="s">
        <v>1717</v>
      </c>
      <c r="P27" t="s">
        <v>925</v>
      </c>
      <c r="Q27" t="s">
        <v>1382</v>
      </c>
      <c r="R27" t="s">
        <v>301</v>
      </c>
      <c r="S27" t="s">
        <v>1765</v>
      </c>
      <c r="T27" t="s">
        <v>914</v>
      </c>
      <c r="U27" t="s">
        <v>914</v>
      </c>
      <c r="V27" t="s">
        <v>914</v>
      </c>
      <c r="W27" t="s">
        <v>2471</v>
      </c>
      <c r="X27" t="s">
        <v>364</v>
      </c>
      <c r="Y27" t="s">
        <v>823</v>
      </c>
      <c r="Z27" t="s">
        <v>914</v>
      </c>
      <c r="AA27" t="s">
        <v>914</v>
      </c>
      <c r="AB27" t="s">
        <v>1146</v>
      </c>
      <c r="AC27" t="s">
        <v>914</v>
      </c>
      <c r="AD27" t="s">
        <v>914</v>
      </c>
      <c r="AE27" t="s">
        <v>914</v>
      </c>
      <c r="AF27" t="s">
        <v>823</v>
      </c>
      <c r="AG27" t="s">
        <v>914</v>
      </c>
      <c r="AH27" t="s">
        <v>914</v>
      </c>
      <c r="AI27" t="s">
        <v>914</v>
      </c>
      <c r="AJ27" t="s">
        <v>914</v>
      </c>
      <c r="AK27" t="s">
        <v>54</v>
      </c>
      <c r="AL27" t="s">
        <v>193</v>
      </c>
      <c r="AM27" t="s">
        <v>914</v>
      </c>
      <c r="AN27" t="s">
        <v>1860</v>
      </c>
      <c r="AO27" t="s">
        <v>744</v>
      </c>
      <c r="AP27" t="s">
        <v>512</v>
      </c>
      <c r="AQ27" t="s">
        <v>823</v>
      </c>
      <c r="AS27" t="s">
        <v>1054</v>
      </c>
    </row>
    <row r="28" spans="1:45" x14ac:dyDescent="0.2">
      <c r="A28" t="s">
        <v>860</v>
      </c>
      <c r="B28" t="s">
        <v>621</v>
      </c>
      <c r="C28" t="s">
        <v>400</v>
      </c>
      <c r="D28" t="s">
        <v>675</v>
      </c>
      <c r="E28" t="s">
        <v>860</v>
      </c>
      <c r="F28" t="s">
        <v>1552</v>
      </c>
      <c r="G28" t="s">
        <v>928</v>
      </c>
      <c r="H28" t="s">
        <v>92</v>
      </c>
      <c r="I28" t="s">
        <v>860</v>
      </c>
      <c r="J28" t="s">
        <v>724</v>
      </c>
      <c r="K28" t="s">
        <v>860</v>
      </c>
      <c r="L28" t="s">
        <v>860</v>
      </c>
      <c r="M28" t="s">
        <v>860</v>
      </c>
      <c r="N28" t="s">
        <v>927</v>
      </c>
      <c r="O28" t="s">
        <v>1718</v>
      </c>
      <c r="P28" t="s">
        <v>860</v>
      </c>
      <c r="Q28" t="s">
        <v>1383</v>
      </c>
      <c r="R28" t="s">
        <v>302</v>
      </c>
      <c r="S28" t="s">
        <v>1766</v>
      </c>
      <c r="T28" t="s">
        <v>860</v>
      </c>
      <c r="U28" t="s">
        <v>860</v>
      </c>
      <c r="V28" t="s">
        <v>860</v>
      </c>
      <c r="W28" t="s">
        <v>2472</v>
      </c>
      <c r="X28" t="s">
        <v>365</v>
      </c>
      <c r="Y28" t="s">
        <v>824</v>
      </c>
      <c r="Z28" t="s">
        <v>860</v>
      </c>
      <c r="AA28" t="s">
        <v>860</v>
      </c>
      <c r="AB28" t="s">
        <v>1147</v>
      </c>
      <c r="AC28" t="s">
        <v>148</v>
      </c>
      <c r="AD28" t="s">
        <v>928</v>
      </c>
      <c r="AE28" t="s">
        <v>860</v>
      </c>
      <c r="AF28" t="s">
        <v>824</v>
      </c>
      <c r="AG28" t="s">
        <v>860</v>
      </c>
      <c r="AH28" t="s">
        <v>860</v>
      </c>
      <c r="AI28" t="s">
        <v>860</v>
      </c>
      <c r="AJ28" t="s">
        <v>928</v>
      </c>
      <c r="AK28" t="s">
        <v>55</v>
      </c>
      <c r="AL28" t="s">
        <v>194</v>
      </c>
      <c r="AM28" t="s">
        <v>1195</v>
      </c>
      <c r="AN28" t="s">
        <v>1861</v>
      </c>
      <c r="AO28" t="s">
        <v>745</v>
      </c>
      <c r="AP28" t="s">
        <v>513</v>
      </c>
      <c r="AQ28" t="s">
        <v>824</v>
      </c>
      <c r="AS28" t="s">
        <v>2073</v>
      </c>
    </row>
    <row r="29" spans="1:45" x14ac:dyDescent="0.2">
      <c r="A29" t="s">
        <v>915</v>
      </c>
      <c r="B29" t="s">
        <v>1685</v>
      </c>
      <c r="C29" t="s">
        <v>401</v>
      </c>
      <c r="D29" t="s">
        <v>676</v>
      </c>
      <c r="E29" t="s">
        <v>915</v>
      </c>
      <c r="F29" t="s">
        <v>825</v>
      </c>
      <c r="G29" t="s">
        <v>861</v>
      </c>
      <c r="H29" t="s">
        <v>93</v>
      </c>
      <c r="I29" t="s">
        <v>915</v>
      </c>
      <c r="J29" t="s">
        <v>725</v>
      </c>
      <c r="K29" t="s">
        <v>915</v>
      </c>
      <c r="L29" t="s">
        <v>1685</v>
      </c>
      <c r="M29" t="s">
        <v>1091</v>
      </c>
      <c r="N29" t="s">
        <v>861</v>
      </c>
      <c r="O29" t="s">
        <v>1719</v>
      </c>
      <c r="P29" t="s">
        <v>861</v>
      </c>
      <c r="Q29" t="s">
        <v>1384</v>
      </c>
      <c r="R29" t="s">
        <v>303</v>
      </c>
      <c r="S29" t="s">
        <v>1767</v>
      </c>
      <c r="T29" t="s">
        <v>1091</v>
      </c>
      <c r="U29" t="s">
        <v>586</v>
      </c>
      <c r="V29" t="s">
        <v>1450</v>
      </c>
      <c r="W29" t="s">
        <v>2473</v>
      </c>
      <c r="X29" t="s">
        <v>366</v>
      </c>
      <c r="Y29" t="s">
        <v>1614</v>
      </c>
      <c r="Z29" t="s">
        <v>453</v>
      </c>
      <c r="AA29" t="s">
        <v>861</v>
      </c>
      <c r="AB29" t="s">
        <v>1148</v>
      </c>
      <c r="AC29" t="s">
        <v>1685</v>
      </c>
      <c r="AD29" t="s">
        <v>861</v>
      </c>
      <c r="AE29" t="s">
        <v>861</v>
      </c>
      <c r="AF29" t="s">
        <v>825</v>
      </c>
      <c r="AG29" t="s">
        <v>1685</v>
      </c>
      <c r="AH29" t="s">
        <v>1767</v>
      </c>
      <c r="AI29" t="s">
        <v>1685</v>
      </c>
      <c r="AJ29" t="s">
        <v>915</v>
      </c>
      <c r="AK29" t="s">
        <v>56</v>
      </c>
      <c r="AL29" t="s">
        <v>195</v>
      </c>
      <c r="AM29" t="s">
        <v>915</v>
      </c>
      <c r="AN29" t="s">
        <v>1862</v>
      </c>
      <c r="AO29" t="s">
        <v>746</v>
      </c>
      <c r="AP29" t="s">
        <v>514</v>
      </c>
      <c r="AQ29" t="s">
        <v>825</v>
      </c>
      <c r="AS29" t="s">
        <v>1073</v>
      </c>
    </row>
    <row r="30" spans="1:45" x14ac:dyDescent="0.2">
      <c r="A30" t="s">
        <v>862</v>
      </c>
      <c r="B30" t="s">
        <v>622</v>
      </c>
      <c r="C30" t="s">
        <v>402</v>
      </c>
      <c r="D30" t="s">
        <v>677</v>
      </c>
      <c r="E30" t="s">
        <v>1497</v>
      </c>
      <c r="F30" t="s">
        <v>1553</v>
      </c>
      <c r="G30" t="s">
        <v>862</v>
      </c>
      <c r="H30" t="s">
        <v>94</v>
      </c>
      <c r="I30" t="s">
        <v>862</v>
      </c>
      <c r="J30" t="s">
        <v>150</v>
      </c>
      <c r="K30" t="s">
        <v>1822</v>
      </c>
      <c r="L30" t="s">
        <v>862</v>
      </c>
      <c r="M30" t="s">
        <v>862</v>
      </c>
      <c r="N30" t="s">
        <v>869</v>
      </c>
      <c r="O30" t="s">
        <v>1720</v>
      </c>
      <c r="P30" t="s">
        <v>862</v>
      </c>
      <c r="Q30" t="s">
        <v>1385</v>
      </c>
      <c r="R30" t="s">
        <v>304</v>
      </c>
      <c r="S30" t="s">
        <v>1768</v>
      </c>
      <c r="T30" t="s">
        <v>862</v>
      </c>
      <c r="U30" t="s">
        <v>1768</v>
      </c>
      <c r="V30" t="s">
        <v>1451</v>
      </c>
      <c r="W30" t="s">
        <v>2474</v>
      </c>
      <c r="X30" t="s">
        <v>367</v>
      </c>
      <c r="Y30" t="s">
        <v>1615</v>
      </c>
      <c r="Z30" t="s">
        <v>454</v>
      </c>
      <c r="AA30" t="s">
        <v>862</v>
      </c>
      <c r="AB30" t="s">
        <v>1149</v>
      </c>
      <c r="AC30" t="s">
        <v>149</v>
      </c>
      <c r="AD30" t="s">
        <v>862</v>
      </c>
      <c r="AE30" t="s">
        <v>1950</v>
      </c>
      <c r="AF30" t="s">
        <v>826</v>
      </c>
      <c r="AG30" t="s">
        <v>862</v>
      </c>
      <c r="AH30" t="s">
        <v>1768</v>
      </c>
      <c r="AI30" t="s">
        <v>862</v>
      </c>
      <c r="AJ30" t="s">
        <v>862</v>
      </c>
      <c r="AK30" t="s">
        <v>57</v>
      </c>
      <c r="AL30" t="s">
        <v>196</v>
      </c>
      <c r="AM30" t="s">
        <v>1196</v>
      </c>
      <c r="AN30" t="s">
        <v>1863</v>
      </c>
      <c r="AO30" t="s">
        <v>747</v>
      </c>
      <c r="AP30" t="s">
        <v>515</v>
      </c>
      <c r="AQ30" t="s">
        <v>2720</v>
      </c>
      <c r="AS30" t="s">
        <v>1071</v>
      </c>
    </row>
    <row r="31" spans="1:45" x14ac:dyDescent="0.2">
      <c r="A31" t="s">
        <v>863</v>
      </c>
      <c r="B31" t="s">
        <v>623</v>
      </c>
      <c r="C31" t="s">
        <v>403</v>
      </c>
      <c r="D31" t="s">
        <v>678</v>
      </c>
      <c r="E31" t="s">
        <v>1498</v>
      </c>
      <c r="F31" t="s">
        <v>1554</v>
      </c>
      <c r="G31" t="s">
        <v>863</v>
      </c>
      <c r="H31" t="s">
        <v>95</v>
      </c>
      <c r="I31" t="s">
        <v>863</v>
      </c>
      <c r="J31" t="s">
        <v>726</v>
      </c>
      <c r="K31" t="s">
        <v>1823</v>
      </c>
      <c r="L31" t="s">
        <v>863</v>
      </c>
      <c r="M31" t="s">
        <v>863</v>
      </c>
      <c r="N31" t="s">
        <v>870</v>
      </c>
      <c r="O31" t="s">
        <v>1721</v>
      </c>
      <c r="P31" t="s">
        <v>863</v>
      </c>
      <c r="Q31" t="s">
        <v>1386</v>
      </c>
      <c r="R31" t="s">
        <v>305</v>
      </c>
      <c r="S31" t="s">
        <v>1769</v>
      </c>
      <c r="T31" t="s">
        <v>863</v>
      </c>
      <c r="U31" t="s">
        <v>1769</v>
      </c>
      <c r="V31" t="s">
        <v>1452</v>
      </c>
      <c r="W31" t="s">
        <v>2475</v>
      </c>
      <c r="X31" t="s">
        <v>368</v>
      </c>
      <c r="Y31" t="s">
        <v>1616</v>
      </c>
      <c r="Z31" t="s">
        <v>455</v>
      </c>
      <c r="AA31" t="s">
        <v>863</v>
      </c>
      <c r="AB31" t="s">
        <v>1150</v>
      </c>
      <c r="AC31" t="s">
        <v>150</v>
      </c>
      <c r="AD31" t="s">
        <v>863</v>
      </c>
      <c r="AE31" t="s">
        <v>1951</v>
      </c>
      <c r="AF31" t="s">
        <v>827</v>
      </c>
      <c r="AG31" t="s">
        <v>863</v>
      </c>
      <c r="AH31" t="s">
        <v>1769</v>
      </c>
      <c r="AI31" t="s">
        <v>863</v>
      </c>
      <c r="AJ31" t="s">
        <v>863</v>
      </c>
      <c r="AK31" t="s">
        <v>58</v>
      </c>
      <c r="AL31" t="s">
        <v>197</v>
      </c>
      <c r="AM31" t="s">
        <v>1197</v>
      </c>
      <c r="AN31" t="s">
        <v>1864</v>
      </c>
      <c r="AO31" t="s">
        <v>748</v>
      </c>
      <c r="AP31" t="s">
        <v>516</v>
      </c>
      <c r="AQ31" t="s">
        <v>2721</v>
      </c>
      <c r="AS31" t="s">
        <v>2340</v>
      </c>
    </row>
    <row r="32" spans="1:45" x14ac:dyDescent="0.2">
      <c r="A32" t="s">
        <v>864</v>
      </c>
      <c r="B32" t="s">
        <v>624</v>
      </c>
      <c r="C32" t="s">
        <v>404</v>
      </c>
      <c r="D32" t="s">
        <v>679</v>
      </c>
      <c r="E32" t="s">
        <v>1499</v>
      </c>
      <c r="F32" t="s">
        <v>1555</v>
      </c>
      <c r="G32" t="s">
        <v>930</v>
      </c>
      <c r="H32" t="s">
        <v>96</v>
      </c>
      <c r="I32" t="s">
        <v>864</v>
      </c>
      <c r="J32" t="s">
        <v>727</v>
      </c>
      <c r="K32" t="s">
        <v>864</v>
      </c>
      <c r="L32" t="s">
        <v>864</v>
      </c>
      <c r="M32" t="s">
        <v>864</v>
      </c>
      <c r="N32" t="s">
        <v>929</v>
      </c>
      <c r="O32" t="s">
        <v>1722</v>
      </c>
      <c r="P32" t="s">
        <v>864</v>
      </c>
      <c r="Q32" t="s">
        <v>1387</v>
      </c>
      <c r="R32" t="s">
        <v>306</v>
      </c>
      <c r="S32" t="s">
        <v>864</v>
      </c>
      <c r="T32" t="s">
        <v>712</v>
      </c>
      <c r="U32" t="s">
        <v>587</v>
      </c>
      <c r="V32" t="s">
        <v>930</v>
      </c>
      <c r="W32" t="s">
        <v>2476</v>
      </c>
      <c r="X32" t="s">
        <v>369</v>
      </c>
      <c r="Y32" t="s">
        <v>828</v>
      </c>
      <c r="Z32" t="s">
        <v>456</v>
      </c>
      <c r="AA32" t="s">
        <v>864</v>
      </c>
      <c r="AB32" t="s">
        <v>1151</v>
      </c>
      <c r="AC32" t="s">
        <v>151</v>
      </c>
      <c r="AD32" t="s">
        <v>930</v>
      </c>
      <c r="AE32" t="s">
        <v>864</v>
      </c>
      <c r="AF32" t="s">
        <v>828</v>
      </c>
      <c r="AG32" t="s">
        <v>12</v>
      </c>
      <c r="AH32" t="s">
        <v>864</v>
      </c>
      <c r="AI32" t="s">
        <v>12</v>
      </c>
      <c r="AJ32" t="s">
        <v>930</v>
      </c>
      <c r="AK32" t="s">
        <v>864</v>
      </c>
      <c r="AL32" t="s">
        <v>198</v>
      </c>
      <c r="AM32" t="s">
        <v>1198</v>
      </c>
      <c r="AN32" t="s">
        <v>1865</v>
      </c>
      <c r="AO32" t="s">
        <v>749</v>
      </c>
      <c r="AP32" t="s">
        <v>517</v>
      </c>
      <c r="AQ32" t="s">
        <v>828</v>
      </c>
      <c r="AS32" t="s">
        <v>2712</v>
      </c>
    </row>
    <row r="33" spans="1:45" x14ac:dyDescent="0.2">
      <c r="A33" t="s">
        <v>865</v>
      </c>
      <c r="B33" t="s">
        <v>625</v>
      </c>
      <c r="C33" t="s">
        <v>405</v>
      </c>
      <c r="D33" t="s">
        <v>680</v>
      </c>
      <c r="E33" t="s">
        <v>1307</v>
      </c>
      <c r="F33" t="s">
        <v>1556</v>
      </c>
      <c r="G33" t="s">
        <v>1337</v>
      </c>
      <c r="H33" t="s">
        <v>97</v>
      </c>
      <c r="I33" t="s">
        <v>865</v>
      </c>
      <c r="J33" t="s">
        <v>728</v>
      </c>
      <c r="K33" t="s">
        <v>865</v>
      </c>
      <c r="L33" t="s">
        <v>865</v>
      </c>
      <c r="M33" t="s">
        <v>865</v>
      </c>
      <c r="N33" t="s">
        <v>931</v>
      </c>
      <c r="O33" t="s">
        <v>1723</v>
      </c>
      <c r="P33" t="s">
        <v>865</v>
      </c>
      <c r="Q33" t="s">
        <v>1388</v>
      </c>
      <c r="R33" t="s">
        <v>307</v>
      </c>
      <c r="S33" t="s">
        <v>1770</v>
      </c>
      <c r="T33" t="s">
        <v>865</v>
      </c>
      <c r="U33" t="s">
        <v>865</v>
      </c>
      <c r="V33" t="s">
        <v>1337</v>
      </c>
      <c r="W33" t="s">
        <v>2477</v>
      </c>
      <c r="X33" t="s">
        <v>370</v>
      </c>
      <c r="Y33" t="s">
        <v>1617</v>
      </c>
      <c r="Z33" t="s">
        <v>1337</v>
      </c>
      <c r="AA33" t="s">
        <v>865</v>
      </c>
      <c r="AB33" t="s">
        <v>1152</v>
      </c>
      <c r="AC33" t="s">
        <v>152</v>
      </c>
      <c r="AD33" t="s">
        <v>1337</v>
      </c>
      <c r="AE33" t="s">
        <v>865</v>
      </c>
      <c r="AF33" t="s">
        <v>829</v>
      </c>
      <c r="AG33" t="s">
        <v>865</v>
      </c>
      <c r="AH33" t="s">
        <v>865</v>
      </c>
      <c r="AI33" t="s">
        <v>865</v>
      </c>
      <c r="AJ33" t="s">
        <v>865</v>
      </c>
      <c r="AK33" t="s">
        <v>59</v>
      </c>
      <c r="AL33" t="s">
        <v>199</v>
      </c>
      <c r="AM33" t="s">
        <v>1199</v>
      </c>
      <c r="AN33" t="s">
        <v>1866</v>
      </c>
      <c r="AO33" t="s">
        <v>750</v>
      </c>
      <c r="AP33" t="s">
        <v>518</v>
      </c>
      <c r="AQ33" t="s">
        <v>829</v>
      </c>
      <c r="AS33" t="s">
        <v>1065</v>
      </c>
    </row>
    <row r="34" spans="1:45" x14ac:dyDescent="0.2">
      <c r="A34" t="s">
        <v>866</v>
      </c>
      <c r="B34" t="s">
        <v>626</v>
      </c>
      <c r="C34" t="s">
        <v>406</v>
      </c>
      <c r="D34" t="s">
        <v>681</v>
      </c>
      <c r="E34" t="s">
        <v>932</v>
      </c>
      <c r="F34" t="s">
        <v>1557</v>
      </c>
      <c r="G34" t="s">
        <v>866</v>
      </c>
      <c r="H34" t="s">
        <v>98</v>
      </c>
      <c r="I34" t="s">
        <v>866</v>
      </c>
      <c r="J34" t="s">
        <v>154</v>
      </c>
      <c r="K34" t="s">
        <v>866</v>
      </c>
      <c r="L34" t="s">
        <v>932</v>
      </c>
      <c r="M34" t="s">
        <v>932</v>
      </c>
      <c r="N34" t="s">
        <v>866</v>
      </c>
      <c r="O34" t="s">
        <v>1724</v>
      </c>
      <c r="P34" t="s">
        <v>932</v>
      </c>
      <c r="Q34" t="s">
        <v>1389</v>
      </c>
      <c r="R34" t="s">
        <v>308</v>
      </c>
      <c r="S34" t="s">
        <v>932</v>
      </c>
      <c r="T34" t="s">
        <v>932</v>
      </c>
      <c r="U34" t="s">
        <v>932</v>
      </c>
      <c r="V34" t="s">
        <v>1453</v>
      </c>
      <c r="W34" t="s">
        <v>2478</v>
      </c>
      <c r="X34" t="s">
        <v>371</v>
      </c>
      <c r="Y34" t="s">
        <v>830</v>
      </c>
      <c r="Z34" t="s">
        <v>1453</v>
      </c>
      <c r="AA34" t="s">
        <v>932</v>
      </c>
      <c r="AB34" t="s">
        <v>1153</v>
      </c>
      <c r="AC34" t="s">
        <v>153</v>
      </c>
      <c r="AD34" t="s">
        <v>1656</v>
      </c>
      <c r="AE34" t="s">
        <v>866</v>
      </c>
      <c r="AF34" t="s">
        <v>830</v>
      </c>
      <c r="AG34" t="s">
        <v>932</v>
      </c>
      <c r="AH34" t="s">
        <v>932</v>
      </c>
      <c r="AI34" t="s">
        <v>866</v>
      </c>
      <c r="AJ34" t="s">
        <v>866</v>
      </c>
      <c r="AK34" t="s">
        <v>60</v>
      </c>
      <c r="AL34" t="s">
        <v>200</v>
      </c>
      <c r="AM34" t="s">
        <v>1200</v>
      </c>
      <c r="AN34" t="s">
        <v>1867</v>
      </c>
      <c r="AO34" t="s">
        <v>751</v>
      </c>
      <c r="AP34" t="s">
        <v>519</v>
      </c>
      <c r="AQ34" t="s">
        <v>830</v>
      </c>
    </row>
    <row r="35" spans="1:45" x14ac:dyDescent="0.2">
      <c r="A35" t="s">
        <v>867</v>
      </c>
      <c r="B35" t="s">
        <v>627</v>
      </c>
      <c r="C35" t="s">
        <v>407</v>
      </c>
      <c r="D35" t="s">
        <v>682</v>
      </c>
      <c r="E35" t="s">
        <v>1500</v>
      </c>
      <c r="F35" t="s">
        <v>1558</v>
      </c>
      <c r="G35" t="s">
        <v>867</v>
      </c>
      <c r="H35" t="s">
        <v>99</v>
      </c>
      <c r="I35" t="s">
        <v>867</v>
      </c>
      <c r="J35" t="s">
        <v>729</v>
      </c>
      <c r="K35" t="s">
        <v>867</v>
      </c>
      <c r="L35" t="s">
        <v>867</v>
      </c>
      <c r="M35" t="s">
        <v>867</v>
      </c>
      <c r="N35" t="s">
        <v>867</v>
      </c>
      <c r="O35" t="s">
        <v>1725</v>
      </c>
      <c r="P35" t="s">
        <v>867</v>
      </c>
      <c r="Q35" t="s">
        <v>1390</v>
      </c>
      <c r="R35" t="s">
        <v>309</v>
      </c>
      <c r="S35" t="s">
        <v>867</v>
      </c>
      <c r="T35" t="s">
        <v>713</v>
      </c>
      <c r="U35" t="s">
        <v>588</v>
      </c>
      <c r="V35" t="s">
        <v>867</v>
      </c>
      <c r="W35" t="s">
        <v>2479</v>
      </c>
      <c r="X35" t="s">
        <v>372</v>
      </c>
      <c r="Y35" t="s">
        <v>1618</v>
      </c>
      <c r="Z35" t="s">
        <v>867</v>
      </c>
      <c r="AA35" t="s">
        <v>867</v>
      </c>
      <c r="AB35" t="s">
        <v>1154</v>
      </c>
      <c r="AC35" t="s">
        <v>154</v>
      </c>
      <c r="AD35" t="s">
        <v>867</v>
      </c>
      <c r="AE35" t="s">
        <v>1952</v>
      </c>
      <c r="AF35" t="s">
        <v>831</v>
      </c>
      <c r="AG35" t="s">
        <v>867</v>
      </c>
      <c r="AH35" t="s">
        <v>867</v>
      </c>
      <c r="AI35" t="s">
        <v>867</v>
      </c>
      <c r="AJ35" t="s">
        <v>867</v>
      </c>
      <c r="AK35" t="s">
        <v>61</v>
      </c>
      <c r="AL35" t="s">
        <v>201</v>
      </c>
      <c r="AM35" t="s">
        <v>1201</v>
      </c>
      <c r="AN35" t="s">
        <v>1868</v>
      </c>
      <c r="AO35" t="s">
        <v>752</v>
      </c>
      <c r="AP35" t="s">
        <v>520</v>
      </c>
      <c r="AQ35" t="s">
        <v>831</v>
      </c>
    </row>
    <row r="36" spans="1:45" x14ac:dyDescent="0.2">
      <c r="A36" t="s">
        <v>916</v>
      </c>
      <c r="B36" t="s">
        <v>628</v>
      </c>
      <c r="C36" t="s">
        <v>408</v>
      </c>
      <c r="D36" t="s">
        <v>683</v>
      </c>
      <c r="E36" t="s">
        <v>1501</v>
      </c>
      <c r="F36" t="s">
        <v>1559</v>
      </c>
      <c r="G36" t="s">
        <v>1338</v>
      </c>
      <c r="H36" t="s">
        <v>100</v>
      </c>
      <c r="I36" t="s">
        <v>916</v>
      </c>
      <c r="J36" t="s">
        <v>730</v>
      </c>
      <c r="K36" t="s">
        <v>916</v>
      </c>
      <c r="L36" t="s">
        <v>916</v>
      </c>
      <c r="M36" t="s">
        <v>916</v>
      </c>
      <c r="N36" t="s">
        <v>933</v>
      </c>
      <c r="O36" t="s">
        <v>1726</v>
      </c>
      <c r="P36" t="s">
        <v>868</v>
      </c>
      <c r="Q36" t="s">
        <v>1391</v>
      </c>
      <c r="R36" t="s">
        <v>310</v>
      </c>
      <c r="S36" t="s">
        <v>916</v>
      </c>
      <c r="T36" t="s">
        <v>1338</v>
      </c>
      <c r="U36" t="s">
        <v>1338</v>
      </c>
      <c r="V36" t="s">
        <v>934</v>
      </c>
      <c r="W36" t="s">
        <v>2480</v>
      </c>
      <c r="X36" t="s">
        <v>373</v>
      </c>
      <c r="Y36" t="s">
        <v>832</v>
      </c>
      <c r="Z36" t="s">
        <v>457</v>
      </c>
      <c r="AA36" t="s">
        <v>1338</v>
      </c>
      <c r="AB36" t="s">
        <v>1155</v>
      </c>
      <c r="AC36" t="s">
        <v>155</v>
      </c>
      <c r="AD36" t="s">
        <v>868</v>
      </c>
      <c r="AE36" t="s">
        <v>916</v>
      </c>
      <c r="AF36" t="s">
        <v>832</v>
      </c>
      <c r="AG36" t="s">
        <v>916</v>
      </c>
      <c r="AH36" t="s">
        <v>916</v>
      </c>
      <c r="AI36" t="s">
        <v>916</v>
      </c>
      <c r="AJ36" t="s">
        <v>934</v>
      </c>
      <c r="AK36" t="s">
        <v>62</v>
      </c>
      <c r="AL36" t="s">
        <v>202</v>
      </c>
      <c r="AM36" t="s">
        <v>1202</v>
      </c>
      <c r="AN36" t="s">
        <v>1869</v>
      </c>
      <c r="AO36" t="s">
        <v>753</v>
      </c>
      <c r="AP36" t="s">
        <v>521</v>
      </c>
      <c r="AQ36" t="s">
        <v>832</v>
      </c>
    </row>
    <row r="37" spans="1:45" x14ac:dyDescent="0.2">
      <c r="A37" t="s">
        <v>801</v>
      </c>
      <c r="B37" t="s">
        <v>629</v>
      </c>
      <c r="C37" t="s">
        <v>409</v>
      </c>
      <c r="D37" t="s">
        <v>684</v>
      </c>
      <c r="E37" t="s">
        <v>1502</v>
      </c>
      <c r="F37" t="s">
        <v>1560</v>
      </c>
      <c r="G37" t="s">
        <v>1339</v>
      </c>
      <c r="H37" t="s">
        <v>101</v>
      </c>
      <c r="I37" t="s">
        <v>1580</v>
      </c>
      <c r="J37" t="s">
        <v>801</v>
      </c>
      <c r="K37" t="s">
        <v>801</v>
      </c>
      <c r="L37" t="s">
        <v>1686</v>
      </c>
      <c r="M37" t="s">
        <v>801</v>
      </c>
      <c r="N37" t="s">
        <v>942</v>
      </c>
      <c r="O37" t="s">
        <v>1727</v>
      </c>
      <c r="P37" t="s">
        <v>801</v>
      </c>
      <c r="Q37" t="s">
        <v>1392</v>
      </c>
      <c r="R37" t="s">
        <v>311</v>
      </c>
      <c r="S37" t="s">
        <v>1771</v>
      </c>
      <c r="T37" t="s">
        <v>714</v>
      </c>
      <c r="U37" t="s">
        <v>589</v>
      </c>
      <c r="V37" t="s">
        <v>1454</v>
      </c>
      <c r="W37" t="s">
        <v>1913</v>
      </c>
      <c r="X37" t="s">
        <v>1502</v>
      </c>
      <c r="Y37" t="s">
        <v>1619</v>
      </c>
      <c r="Z37" t="s">
        <v>714</v>
      </c>
      <c r="AA37" t="s">
        <v>63</v>
      </c>
      <c r="AB37" t="s">
        <v>1156</v>
      </c>
      <c r="AC37" t="s">
        <v>156</v>
      </c>
      <c r="AD37" t="s">
        <v>602</v>
      </c>
      <c r="AE37" t="s">
        <v>1953</v>
      </c>
      <c r="AF37" t="s">
        <v>833</v>
      </c>
      <c r="AG37" t="s">
        <v>13</v>
      </c>
      <c r="AH37" t="s">
        <v>261</v>
      </c>
      <c r="AI37" t="s">
        <v>424</v>
      </c>
      <c r="AJ37" t="s">
        <v>943</v>
      </c>
      <c r="AK37" t="s">
        <v>63</v>
      </c>
      <c r="AL37" t="s">
        <v>203</v>
      </c>
      <c r="AM37" t="s">
        <v>1203</v>
      </c>
      <c r="AN37" t="s">
        <v>1870</v>
      </c>
      <c r="AO37" t="s">
        <v>833</v>
      </c>
      <c r="AP37" t="s">
        <v>522</v>
      </c>
      <c r="AQ37" t="s">
        <v>2707</v>
      </c>
    </row>
    <row r="38" spans="1:45" x14ac:dyDescent="0.2">
      <c r="A38" t="s">
        <v>2054</v>
      </c>
      <c r="B38" t="s">
        <v>2071</v>
      </c>
      <c r="C38" t="s">
        <v>2080</v>
      </c>
      <c r="D38" t="s">
        <v>2158</v>
      </c>
      <c r="E38" t="s">
        <v>2075</v>
      </c>
      <c r="F38" t="s">
        <v>2072</v>
      </c>
      <c r="G38" t="s">
        <v>2062</v>
      </c>
      <c r="H38" t="s">
        <v>2082</v>
      </c>
      <c r="I38" t="s">
        <v>2159</v>
      </c>
      <c r="J38" t="s">
        <v>2069</v>
      </c>
      <c r="K38" t="s">
        <v>2066</v>
      </c>
      <c r="L38" t="s">
        <v>2056</v>
      </c>
      <c r="M38" t="s">
        <v>2064</v>
      </c>
      <c r="N38" t="s">
        <v>2055</v>
      </c>
      <c r="O38" t="s">
        <v>2078</v>
      </c>
      <c r="P38" t="s">
        <v>2056</v>
      </c>
      <c r="Q38" t="s">
        <v>2160</v>
      </c>
      <c r="R38" t="s">
        <v>2079</v>
      </c>
      <c r="S38" t="s">
        <v>2063</v>
      </c>
      <c r="T38" t="s">
        <v>2077</v>
      </c>
      <c r="U38" t="s">
        <v>2054</v>
      </c>
      <c r="V38" t="s">
        <v>2058</v>
      </c>
      <c r="W38" t="s">
        <v>2161</v>
      </c>
      <c r="X38" t="s">
        <v>2061</v>
      </c>
      <c r="Y38" t="s">
        <v>2162</v>
      </c>
      <c r="Z38" t="s">
        <v>2065</v>
      </c>
      <c r="AA38" t="s">
        <v>2068</v>
      </c>
      <c r="AB38" t="s">
        <v>2081</v>
      </c>
      <c r="AC38" t="s">
        <v>2060</v>
      </c>
      <c r="AD38" t="s">
        <v>2059</v>
      </c>
      <c r="AE38" t="s">
        <v>2163</v>
      </c>
      <c r="AF38" t="s">
        <v>2073</v>
      </c>
      <c r="AG38" t="s">
        <v>2070</v>
      </c>
      <c r="AH38" t="s">
        <v>2164</v>
      </c>
      <c r="AI38" t="s">
        <v>2067</v>
      </c>
      <c r="AJ38" t="s">
        <v>2057</v>
      </c>
      <c r="AK38" t="s">
        <v>2056</v>
      </c>
      <c r="AL38" t="s">
        <v>2165</v>
      </c>
      <c r="AM38" t="s">
        <v>2076</v>
      </c>
      <c r="AN38" t="s">
        <v>2054</v>
      </c>
      <c r="AO38" t="s">
        <v>2074</v>
      </c>
      <c r="AP38" t="s">
        <v>2166</v>
      </c>
      <c r="AQ38" t="s">
        <v>2073</v>
      </c>
    </row>
    <row r="39" spans="1:45" x14ac:dyDescent="0.2">
      <c r="A39" t="s">
        <v>946</v>
      </c>
      <c r="B39" t="s">
        <v>2167</v>
      </c>
      <c r="C39" t="s">
        <v>1253</v>
      </c>
      <c r="D39" t="s">
        <v>685</v>
      </c>
      <c r="E39" t="s">
        <v>1204</v>
      </c>
      <c r="F39" t="s">
        <v>1561</v>
      </c>
      <c r="G39" t="s">
        <v>1340</v>
      </c>
      <c r="H39" t="s">
        <v>1581</v>
      </c>
      <c r="I39" t="s">
        <v>1581</v>
      </c>
      <c r="J39" t="s">
        <v>14</v>
      </c>
      <c r="K39" t="s">
        <v>1030</v>
      </c>
      <c r="L39" t="s">
        <v>946</v>
      </c>
      <c r="M39" t="s">
        <v>946</v>
      </c>
      <c r="N39" t="s">
        <v>1014</v>
      </c>
      <c r="O39" t="s">
        <v>946</v>
      </c>
      <c r="P39" t="s">
        <v>1030</v>
      </c>
      <c r="Q39" t="s">
        <v>1393</v>
      </c>
      <c r="R39" t="s">
        <v>312</v>
      </c>
      <c r="S39" t="s">
        <v>1772</v>
      </c>
      <c r="T39" t="s">
        <v>14</v>
      </c>
      <c r="U39" t="s">
        <v>2168</v>
      </c>
      <c r="V39" t="s">
        <v>1455</v>
      </c>
      <c r="W39" t="s">
        <v>1914</v>
      </c>
      <c r="X39" t="s">
        <v>1204</v>
      </c>
      <c r="Y39" t="s">
        <v>1561</v>
      </c>
      <c r="Z39" t="s">
        <v>458</v>
      </c>
      <c r="AA39" t="s">
        <v>946</v>
      </c>
      <c r="AB39" t="s">
        <v>1157</v>
      </c>
      <c r="AC39" t="s">
        <v>157</v>
      </c>
      <c r="AD39" t="s">
        <v>1000</v>
      </c>
      <c r="AE39" t="s">
        <v>1954</v>
      </c>
      <c r="AF39" t="s">
        <v>1052</v>
      </c>
      <c r="AG39" t="s">
        <v>1561</v>
      </c>
      <c r="AH39" t="s">
        <v>1030</v>
      </c>
      <c r="AI39" t="s">
        <v>2168</v>
      </c>
      <c r="AJ39" t="s">
        <v>1000</v>
      </c>
      <c r="AK39" t="s">
        <v>1030</v>
      </c>
      <c r="AL39" t="s">
        <v>2169</v>
      </c>
      <c r="AM39" t="s">
        <v>1204</v>
      </c>
      <c r="AN39" t="s">
        <v>946</v>
      </c>
      <c r="AO39" t="s">
        <v>1052</v>
      </c>
      <c r="AP39" t="s">
        <v>523</v>
      </c>
      <c r="AQ39" t="s">
        <v>1052</v>
      </c>
    </row>
    <row r="40" spans="1:45" x14ac:dyDescent="0.2">
      <c r="A40" t="s">
        <v>947</v>
      </c>
      <c r="B40" t="s">
        <v>947</v>
      </c>
      <c r="C40" t="s">
        <v>2170</v>
      </c>
      <c r="D40" t="s">
        <v>686</v>
      </c>
      <c r="E40" t="s">
        <v>1503</v>
      </c>
      <c r="F40" t="s">
        <v>1053</v>
      </c>
      <c r="G40" t="s">
        <v>1341</v>
      </c>
      <c r="H40" t="s">
        <v>102</v>
      </c>
      <c r="I40" t="s">
        <v>1582</v>
      </c>
      <c r="J40" t="s">
        <v>15</v>
      </c>
      <c r="K40" t="s">
        <v>947</v>
      </c>
      <c r="L40" t="s">
        <v>947</v>
      </c>
      <c r="M40" t="s">
        <v>947</v>
      </c>
      <c r="N40" t="s">
        <v>947</v>
      </c>
      <c r="O40" t="s">
        <v>2171</v>
      </c>
      <c r="P40" t="s">
        <v>947</v>
      </c>
      <c r="Q40" t="s">
        <v>1394</v>
      </c>
      <c r="R40" t="s">
        <v>2172</v>
      </c>
      <c r="S40" t="s">
        <v>947</v>
      </c>
      <c r="T40" t="s">
        <v>947</v>
      </c>
      <c r="U40" t="s">
        <v>947</v>
      </c>
      <c r="V40" t="s">
        <v>947</v>
      </c>
      <c r="W40" t="s">
        <v>1915</v>
      </c>
      <c r="X40" t="s">
        <v>331</v>
      </c>
      <c r="Y40" t="s">
        <v>2173</v>
      </c>
      <c r="Z40" t="s">
        <v>158</v>
      </c>
      <c r="AA40" t="s">
        <v>947</v>
      </c>
      <c r="AB40" t="s">
        <v>1158</v>
      </c>
      <c r="AC40" t="s">
        <v>158</v>
      </c>
      <c r="AD40" t="s">
        <v>1341</v>
      </c>
      <c r="AE40" t="s">
        <v>947</v>
      </c>
      <c r="AF40" t="s">
        <v>1053</v>
      </c>
      <c r="AG40" t="s">
        <v>1620</v>
      </c>
      <c r="AH40" t="s">
        <v>262</v>
      </c>
      <c r="AI40" t="s">
        <v>15</v>
      </c>
      <c r="AJ40" t="s">
        <v>947</v>
      </c>
      <c r="AK40" t="s">
        <v>947</v>
      </c>
      <c r="AL40" t="s">
        <v>2174</v>
      </c>
      <c r="AM40" t="s">
        <v>947</v>
      </c>
      <c r="AN40" t="s">
        <v>947</v>
      </c>
      <c r="AO40" t="s">
        <v>1053</v>
      </c>
      <c r="AP40" t="s">
        <v>2175</v>
      </c>
      <c r="AQ40" t="s">
        <v>1053</v>
      </c>
    </row>
    <row r="41" spans="1:45" x14ac:dyDescent="0.2">
      <c r="A41" t="s">
        <v>836</v>
      </c>
      <c r="B41" t="s">
        <v>2176</v>
      </c>
      <c r="C41" t="s">
        <v>1254</v>
      </c>
      <c r="D41" t="s">
        <v>836</v>
      </c>
      <c r="E41" t="s">
        <v>1205</v>
      </c>
      <c r="F41" t="s">
        <v>1054</v>
      </c>
      <c r="G41" t="s">
        <v>1342</v>
      </c>
      <c r="H41" t="s">
        <v>103</v>
      </c>
      <c r="I41" t="s">
        <v>1583</v>
      </c>
      <c r="J41" t="s">
        <v>16</v>
      </c>
      <c r="K41" t="s">
        <v>1824</v>
      </c>
      <c r="L41" t="s">
        <v>1687</v>
      </c>
      <c r="M41" t="s">
        <v>1092</v>
      </c>
      <c r="N41" t="s">
        <v>836</v>
      </c>
      <c r="O41" t="s">
        <v>836</v>
      </c>
      <c r="P41" t="s">
        <v>1031</v>
      </c>
      <c r="Q41" t="s">
        <v>1395</v>
      </c>
      <c r="R41" t="s">
        <v>313</v>
      </c>
      <c r="S41" t="s">
        <v>1773</v>
      </c>
      <c r="T41" t="s">
        <v>1313</v>
      </c>
      <c r="U41" t="s">
        <v>836</v>
      </c>
      <c r="V41" t="s">
        <v>1001</v>
      </c>
      <c r="W41" t="s">
        <v>1916</v>
      </c>
      <c r="X41" t="s">
        <v>332</v>
      </c>
      <c r="Y41" t="s">
        <v>1621</v>
      </c>
      <c r="Z41" t="s">
        <v>459</v>
      </c>
      <c r="AA41" t="s">
        <v>64</v>
      </c>
      <c r="AB41" t="s">
        <v>1159</v>
      </c>
      <c r="AC41" t="s">
        <v>159</v>
      </c>
      <c r="AD41" t="s">
        <v>1342</v>
      </c>
      <c r="AE41" t="s">
        <v>2177</v>
      </c>
      <c r="AF41" t="s">
        <v>1054</v>
      </c>
      <c r="AG41" t="s">
        <v>2178</v>
      </c>
      <c r="AH41" t="s">
        <v>2179</v>
      </c>
      <c r="AI41" t="s">
        <v>836</v>
      </c>
      <c r="AJ41" t="s">
        <v>1001</v>
      </c>
      <c r="AK41" t="s">
        <v>64</v>
      </c>
      <c r="AL41" t="s">
        <v>204</v>
      </c>
      <c r="AM41" t="s">
        <v>1205</v>
      </c>
      <c r="AN41" t="s">
        <v>1871</v>
      </c>
      <c r="AO41" t="s">
        <v>754</v>
      </c>
      <c r="AP41" t="s">
        <v>524</v>
      </c>
      <c r="AQ41" t="s">
        <v>1054</v>
      </c>
    </row>
    <row r="42" spans="1:45" x14ac:dyDescent="0.2">
      <c r="A42" t="s">
        <v>948</v>
      </c>
      <c r="B42" t="s">
        <v>2180</v>
      </c>
      <c r="C42" t="s">
        <v>1255</v>
      </c>
      <c r="D42" t="s">
        <v>687</v>
      </c>
      <c r="E42" t="s">
        <v>948</v>
      </c>
      <c r="F42" t="s">
        <v>1562</v>
      </c>
      <c r="G42" t="s">
        <v>948</v>
      </c>
      <c r="H42" t="s">
        <v>1584</v>
      </c>
      <c r="I42" t="s">
        <v>1584</v>
      </c>
      <c r="J42" t="s">
        <v>948</v>
      </c>
      <c r="K42" t="s">
        <v>948</v>
      </c>
      <c r="L42" t="s">
        <v>948</v>
      </c>
      <c r="M42" t="s">
        <v>1093</v>
      </c>
      <c r="N42" t="s">
        <v>1015</v>
      </c>
      <c r="O42" t="s">
        <v>2181</v>
      </c>
      <c r="P42" t="s">
        <v>1032</v>
      </c>
      <c r="Q42" t="s">
        <v>1396</v>
      </c>
      <c r="R42" t="s">
        <v>314</v>
      </c>
      <c r="S42" t="s">
        <v>1774</v>
      </c>
      <c r="T42" t="s">
        <v>948</v>
      </c>
      <c r="U42" t="s">
        <v>948</v>
      </c>
      <c r="V42" t="s">
        <v>948</v>
      </c>
      <c r="W42" t="s">
        <v>1917</v>
      </c>
      <c r="X42" t="s">
        <v>948</v>
      </c>
      <c r="Y42" t="s">
        <v>1055</v>
      </c>
      <c r="Z42" t="s">
        <v>460</v>
      </c>
      <c r="AA42" t="s">
        <v>948</v>
      </c>
      <c r="AB42" t="s">
        <v>1160</v>
      </c>
      <c r="AC42" t="s">
        <v>160</v>
      </c>
      <c r="AD42" t="s">
        <v>948</v>
      </c>
      <c r="AE42" t="s">
        <v>948</v>
      </c>
      <c r="AF42" t="s">
        <v>1055</v>
      </c>
      <c r="AG42" t="s">
        <v>1055</v>
      </c>
      <c r="AH42" t="s">
        <v>2182</v>
      </c>
      <c r="AI42" t="s">
        <v>948</v>
      </c>
      <c r="AJ42" t="s">
        <v>948</v>
      </c>
      <c r="AK42" t="s">
        <v>948</v>
      </c>
      <c r="AL42" t="s">
        <v>205</v>
      </c>
      <c r="AM42" t="s">
        <v>1206</v>
      </c>
      <c r="AN42" t="s">
        <v>948</v>
      </c>
      <c r="AO42" t="s">
        <v>1055</v>
      </c>
      <c r="AP42" t="s">
        <v>525</v>
      </c>
      <c r="AQ42" t="s">
        <v>1055</v>
      </c>
    </row>
    <row r="43" spans="1:45" x14ac:dyDescent="0.2">
      <c r="A43" t="s">
        <v>949</v>
      </c>
      <c r="B43" t="s">
        <v>2183</v>
      </c>
      <c r="C43" t="s">
        <v>1256</v>
      </c>
      <c r="D43" t="s">
        <v>688</v>
      </c>
      <c r="E43" t="s">
        <v>949</v>
      </c>
      <c r="F43" t="s">
        <v>1056</v>
      </c>
      <c r="G43" t="s">
        <v>1343</v>
      </c>
      <c r="H43" t="s">
        <v>104</v>
      </c>
      <c r="I43" t="s">
        <v>1585</v>
      </c>
      <c r="J43" t="s">
        <v>17</v>
      </c>
      <c r="K43" t="s">
        <v>1825</v>
      </c>
      <c r="L43" t="s">
        <v>949</v>
      </c>
      <c r="M43" t="s">
        <v>949</v>
      </c>
      <c r="N43" t="s">
        <v>949</v>
      </c>
      <c r="O43" t="s">
        <v>2184</v>
      </c>
      <c r="P43" t="s">
        <v>949</v>
      </c>
      <c r="Q43" t="s">
        <v>1397</v>
      </c>
      <c r="R43" t="s">
        <v>315</v>
      </c>
      <c r="S43" t="s">
        <v>1657</v>
      </c>
      <c r="T43" t="s">
        <v>949</v>
      </c>
      <c r="U43" t="s">
        <v>590</v>
      </c>
      <c r="V43" t="s">
        <v>949</v>
      </c>
      <c r="W43" t="s">
        <v>1918</v>
      </c>
      <c r="X43" t="s">
        <v>17</v>
      </c>
      <c r="Y43" t="s">
        <v>1622</v>
      </c>
      <c r="Z43" t="s">
        <v>461</v>
      </c>
      <c r="AA43" t="s">
        <v>949</v>
      </c>
      <c r="AB43" t="s">
        <v>1161</v>
      </c>
      <c r="AC43" t="s">
        <v>949</v>
      </c>
      <c r="AD43" t="s">
        <v>1657</v>
      </c>
      <c r="AE43" t="s">
        <v>949</v>
      </c>
      <c r="AF43" t="s">
        <v>1056</v>
      </c>
      <c r="AG43" t="s">
        <v>1622</v>
      </c>
      <c r="AH43" t="s">
        <v>1657</v>
      </c>
      <c r="AI43" t="s">
        <v>17</v>
      </c>
      <c r="AJ43" t="s">
        <v>949</v>
      </c>
      <c r="AK43" t="s">
        <v>949</v>
      </c>
      <c r="AL43" t="s">
        <v>206</v>
      </c>
      <c r="AM43" t="s">
        <v>1207</v>
      </c>
      <c r="AN43" t="s">
        <v>949</v>
      </c>
      <c r="AO43" t="s">
        <v>755</v>
      </c>
      <c r="AP43" t="s">
        <v>2185</v>
      </c>
      <c r="AQ43" t="s">
        <v>1056</v>
      </c>
    </row>
    <row r="44" spans="1:45" x14ac:dyDescent="0.2">
      <c r="A44" t="s">
        <v>950</v>
      </c>
      <c r="B44" t="s">
        <v>950</v>
      </c>
      <c r="C44" t="s">
        <v>2186</v>
      </c>
      <c r="D44" t="s">
        <v>2187</v>
      </c>
      <c r="E44" t="s">
        <v>1504</v>
      </c>
      <c r="F44" t="s">
        <v>2188</v>
      </c>
      <c r="G44" t="s">
        <v>1002</v>
      </c>
      <c r="H44" t="s">
        <v>105</v>
      </c>
      <c r="I44" t="s">
        <v>2189</v>
      </c>
      <c r="J44" t="s">
        <v>425</v>
      </c>
      <c r="K44" t="s">
        <v>2190</v>
      </c>
      <c r="L44" t="s">
        <v>789</v>
      </c>
      <c r="M44" t="s">
        <v>1094</v>
      </c>
      <c r="N44" t="s">
        <v>1016</v>
      </c>
      <c r="O44" t="s">
        <v>2191</v>
      </c>
      <c r="P44" t="s">
        <v>1033</v>
      </c>
      <c r="Q44" t="s">
        <v>2192</v>
      </c>
      <c r="R44" t="s">
        <v>2193</v>
      </c>
      <c r="S44" t="s">
        <v>1775</v>
      </c>
      <c r="T44" t="s">
        <v>2194</v>
      </c>
      <c r="U44" t="s">
        <v>2195</v>
      </c>
      <c r="V44" t="s">
        <v>1344</v>
      </c>
      <c r="W44" t="s">
        <v>2196</v>
      </c>
      <c r="X44" t="s">
        <v>374</v>
      </c>
      <c r="Y44" t="s">
        <v>2197</v>
      </c>
      <c r="Z44" t="s">
        <v>2198</v>
      </c>
      <c r="AA44" t="s">
        <v>273</v>
      </c>
      <c r="AB44" t="s">
        <v>1162</v>
      </c>
      <c r="AC44" t="s">
        <v>161</v>
      </c>
      <c r="AD44" t="s">
        <v>2199</v>
      </c>
      <c r="AE44" t="s">
        <v>2200</v>
      </c>
      <c r="AF44" t="s">
        <v>2201</v>
      </c>
      <c r="AG44" t="s">
        <v>1623</v>
      </c>
      <c r="AH44" t="s">
        <v>2202</v>
      </c>
      <c r="AI44" t="s">
        <v>425</v>
      </c>
      <c r="AJ44" t="s">
        <v>1002</v>
      </c>
      <c r="AK44" t="s">
        <v>789</v>
      </c>
      <c r="AL44" t="s">
        <v>207</v>
      </c>
      <c r="AM44" t="s">
        <v>2203</v>
      </c>
      <c r="AN44" t="s">
        <v>1872</v>
      </c>
      <c r="AO44" t="s">
        <v>756</v>
      </c>
      <c r="AP44" t="s">
        <v>2204</v>
      </c>
      <c r="AQ44" t="s">
        <v>2708</v>
      </c>
    </row>
    <row r="45" spans="1:45" x14ac:dyDescent="0.2">
      <c r="A45" t="s">
        <v>951</v>
      </c>
      <c r="B45" t="s">
        <v>2205</v>
      </c>
      <c r="C45" t="s">
        <v>2206</v>
      </c>
      <c r="D45" t="s">
        <v>689</v>
      </c>
      <c r="E45" t="s">
        <v>1505</v>
      </c>
      <c r="F45" t="s">
        <v>1563</v>
      </c>
      <c r="G45" t="s">
        <v>1345</v>
      </c>
      <c r="H45" t="s">
        <v>106</v>
      </c>
      <c r="I45" t="s">
        <v>1586</v>
      </c>
      <c r="J45" t="s">
        <v>18</v>
      </c>
      <c r="K45" t="s">
        <v>1826</v>
      </c>
      <c r="L45" t="s">
        <v>1688</v>
      </c>
      <c r="M45" t="s">
        <v>1095</v>
      </c>
      <c r="N45" t="s">
        <v>1017</v>
      </c>
      <c r="O45" t="s">
        <v>2207</v>
      </c>
      <c r="P45" t="s">
        <v>1034</v>
      </c>
      <c r="Q45" t="s">
        <v>1398</v>
      </c>
      <c r="R45" t="s">
        <v>2208</v>
      </c>
      <c r="S45" t="s">
        <v>1776</v>
      </c>
      <c r="T45" t="s">
        <v>1314</v>
      </c>
      <c r="U45" t="s">
        <v>591</v>
      </c>
      <c r="V45" t="s">
        <v>1003</v>
      </c>
      <c r="W45" t="s">
        <v>1919</v>
      </c>
      <c r="X45" t="s">
        <v>333</v>
      </c>
      <c r="Y45" t="s">
        <v>1624</v>
      </c>
      <c r="Z45" t="s">
        <v>2209</v>
      </c>
      <c r="AA45" t="s">
        <v>274</v>
      </c>
      <c r="AB45" t="s">
        <v>1163</v>
      </c>
      <c r="AC45" t="s">
        <v>162</v>
      </c>
      <c r="AD45" t="s">
        <v>1658</v>
      </c>
      <c r="AE45" t="s">
        <v>1003</v>
      </c>
      <c r="AF45" t="s">
        <v>1057</v>
      </c>
      <c r="AG45" t="s">
        <v>2210</v>
      </c>
      <c r="AH45" t="s">
        <v>2211</v>
      </c>
      <c r="AI45" t="s">
        <v>426</v>
      </c>
      <c r="AJ45" t="s">
        <v>1003</v>
      </c>
      <c r="AK45" t="s">
        <v>65</v>
      </c>
      <c r="AL45" t="s">
        <v>2212</v>
      </c>
      <c r="AM45" t="s">
        <v>1208</v>
      </c>
      <c r="AN45" t="s">
        <v>2213</v>
      </c>
      <c r="AO45" t="s">
        <v>757</v>
      </c>
      <c r="AP45" t="s">
        <v>1163</v>
      </c>
      <c r="AQ45" t="s">
        <v>1057</v>
      </c>
    </row>
    <row r="46" spans="1:45" x14ac:dyDescent="0.2">
      <c r="A46" t="s">
        <v>952</v>
      </c>
      <c r="B46" t="s">
        <v>2214</v>
      </c>
      <c r="C46" t="s">
        <v>2215</v>
      </c>
      <c r="D46" t="s">
        <v>690</v>
      </c>
      <c r="E46" t="s">
        <v>1506</v>
      </c>
      <c r="F46" t="s">
        <v>1058</v>
      </c>
      <c r="G46" t="s">
        <v>1346</v>
      </c>
      <c r="H46" t="s">
        <v>2216</v>
      </c>
      <c r="I46" t="s">
        <v>2217</v>
      </c>
      <c r="J46" t="s">
        <v>19</v>
      </c>
      <c r="K46" t="s">
        <v>1827</v>
      </c>
      <c r="L46" t="s">
        <v>952</v>
      </c>
      <c r="M46" t="s">
        <v>1096</v>
      </c>
      <c r="N46" t="s">
        <v>1018</v>
      </c>
      <c r="O46" t="s">
        <v>952</v>
      </c>
      <c r="P46" t="s">
        <v>952</v>
      </c>
      <c r="Q46" t="s">
        <v>1399</v>
      </c>
      <c r="R46" t="s">
        <v>316</v>
      </c>
      <c r="S46" t="s">
        <v>1777</v>
      </c>
      <c r="T46" t="s">
        <v>1315</v>
      </c>
      <c r="U46" t="s">
        <v>952</v>
      </c>
      <c r="V46" t="s">
        <v>1456</v>
      </c>
      <c r="W46" t="s">
        <v>2218</v>
      </c>
      <c r="X46" t="s">
        <v>334</v>
      </c>
      <c r="Y46" t="s">
        <v>1625</v>
      </c>
      <c r="Z46" t="s">
        <v>462</v>
      </c>
      <c r="AA46" t="s">
        <v>952</v>
      </c>
      <c r="AB46" t="s">
        <v>526</v>
      </c>
      <c r="AC46" t="s">
        <v>1777</v>
      </c>
      <c r="AD46" t="s">
        <v>1004</v>
      </c>
      <c r="AE46" t="s">
        <v>1777</v>
      </c>
      <c r="AF46" t="s">
        <v>1058</v>
      </c>
      <c r="AG46" t="s">
        <v>2219</v>
      </c>
      <c r="AH46" t="s">
        <v>263</v>
      </c>
      <c r="AI46" t="s">
        <v>334</v>
      </c>
      <c r="AJ46" t="s">
        <v>1004</v>
      </c>
      <c r="AK46" t="s">
        <v>952</v>
      </c>
      <c r="AL46" t="s">
        <v>208</v>
      </c>
      <c r="AM46" t="s">
        <v>1209</v>
      </c>
      <c r="AN46" t="s">
        <v>1873</v>
      </c>
      <c r="AO46" t="s">
        <v>758</v>
      </c>
      <c r="AP46" t="s">
        <v>2220</v>
      </c>
      <c r="AQ46" t="s">
        <v>1058</v>
      </c>
    </row>
    <row r="47" spans="1:45" x14ac:dyDescent="0.2">
      <c r="A47" t="s">
        <v>953</v>
      </c>
      <c r="B47" t="s">
        <v>630</v>
      </c>
      <c r="C47" t="s">
        <v>2221</v>
      </c>
      <c r="D47" t="s">
        <v>953</v>
      </c>
      <c r="E47" t="s">
        <v>2222</v>
      </c>
      <c r="F47" t="s">
        <v>1564</v>
      </c>
      <c r="G47" t="s">
        <v>1659</v>
      </c>
      <c r="H47" t="s">
        <v>107</v>
      </c>
      <c r="I47" t="s">
        <v>1587</v>
      </c>
      <c r="J47" t="s">
        <v>20</v>
      </c>
      <c r="K47" t="s">
        <v>2223</v>
      </c>
      <c r="L47" t="s">
        <v>953</v>
      </c>
      <c r="M47" t="s">
        <v>2224</v>
      </c>
      <c r="N47" t="s">
        <v>953</v>
      </c>
      <c r="O47" t="s">
        <v>953</v>
      </c>
      <c r="P47" t="s">
        <v>953</v>
      </c>
      <c r="Q47" t="s">
        <v>1400</v>
      </c>
      <c r="R47" t="s">
        <v>2225</v>
      </c>
      <c r="S47" t="s">
        <v>953</v>
      </c>
      <c r="T47" t="s">
        <v>2226</v>
      </c>
      <c r="U47" t="s">
        <v>953</v>
      </c>
      <c r="V47" t="s">
        <v>2227</v>
      </c>
      <c r="W47" t="s">
        <v>1920</v>
      </c>
      <c r="X47" t="s">
        <v>375</v>
      </c>
      <c r="Y47" t="s">
        <v>1626</v>
      </c>
      <c r="Z47" t="s">
        <v>953</v>
      </c>
      <c r="AA47" t="s">
        <v>953</v>
      </c>
      <c r="AB47" t="s">
        <v>2228</v>
      </c>
      <c r="AC47" t="s">
        <v>953</v>
      </c>
      <c r="AD47" t="s">
        <v>1659</v>
      </c>
      <c r="AE47" t="s">
        <v>2229</v>
      </c>
      <c r="AF47" t="s">
        <v>1059</v>
      </c>
      <c r="AG47" t="s">
        <v>1626</v>
      </c>
      <c r="AH47" t="s">
        <v>2230</v>
      </c>
      <c r="AI47" t="s">
        <v>427</v>
      </c>
      <c r="AJ47" t="s">
        <v>2231</v>
      </c>
      <c r="AK47" t="s">
        <v>953</v>
      </c>
      <c r="AL47" t="s">
        <v>2232</v>
      </c>
      <c r="AM47" t="s">
        <v>2233</v>
      </c>
      <c r="AN47" t="s">
        <v>2234</v>
      </c>
      <c r="AO47" t="s">
        <v>1059</v>
      </c>
      <c r="AP47" t="s">
        <v>2235</v>
      </c>
      <c r="AQ47" t="s">
        <v>2709</v>
      </c>
    </row>
    <row r="48" spans="1:45" x14ac:dyDescent="0.2">
      <c r="A48" t="s">
        <v>954</v>
      </c>
      <c r="B48" t="s">
        <v>2236</v>
      </c>
      <c r="C48" t="s">
        <v>1257</v>
      </c>
      <c r="D48" t="s">
        <v>2237</v>
      </c>
      <c r="E48" t="s">
        <v>954</v>
      </c>
      <c r="F48" t="s">
        <v>1060</v>
      </c>
      <c r="G48" t="s">
        <v>1347</v>
      </c>
      <c r="H48" t="s">
        <v>108</v>
      </c>
      <c r="I48" t="s">
        <v>1588</v>
      </c>
      <c r="J48" t="s">
        <v>21</v>
      </c>
      <c r="K48" t="s">
        <v>1828</v>
      </c>
      <c r="L48" t="s">
        <v>1689</v>
      </c>
      <c r="M48" t="s">
        <v>1097</v>
      </c>
      <c r="N48" t="s">
        <v>1019</v>
      </c>
      <c r="O48" t="s">
        <v>2238</v>
      </c>
      <c r="P48" t="s">
        <v>1035</v>
      </c>
      <c r="Q48" t="s">
        <v>1401</v>
      </c>
      <c r="R48" t="s">
        <v>317</v>
      </c>
      <c r="S48" t="s">
        <v>1660</v>
      </c>
      <c r="T48" t="s">
        <v>715</v>
      </c>
      <c r="U48" t="s">
        <v>2239</v>
      </c>
      <c r="V48" t="s">
        <v>954</v>
      </c>
      <c r="W48" t="s">
        <v>1921</v>
      </c>
      <c r="X48" t="s">
        <v>335</v>
      </c>
      <c r="Y48" t="s">
        <v>1060</v>
      </c>
      <c r="Z48" t="s">
        <v>463</v>
      </c>
      <c r="AA48" t="s">
        <v>275</v>
      </c>
      <c r="AB48" t="s">
        <v>1164</v>
      </c>
      <c r="AC48" t="s">
        <v>163</v>
      </c>
      <c r="AD48" t="s">
        <v>436</v>
      </c>
      <c r="AE48" t="s">
        <v>954</v>
      </c>
      <c r="AF48" t="s">
        <v>1060</v>
      </c>
      <c r="AG48" t="s">
        <v>1060</v>
      </c>
      <c r="AH48" t="s">
        <v>2240</v>
      </c>
      <c r="AI48" t="s">
        <v>428</v>
      </c>
      <c r="AJ48" t="s">
        <v>1005</v>
      </c>
      <c r="AK48" t="s">
        <v>1689</v>
      </c>
      <c r="AL48" t="s">
        <v>2241</v>
      </c>
      <c r="AM48" t="s">
        <v>1210</v>
      </c>
      <c r="AN48" t="s">
        <v>954</v>
      </c>
      <c r="AO48" t="s">
        <v>1060</v>
      </c>
      <c r="AP48" t="s">
        <v>527</v>
      </c>
      <c r="AQ48" t="s">
        <v>2710</v>
      </c>
    </row>
    <row r="49" spans="1:43" x14ac:dyDescent="0.2">
      <c r="A49" t="s">
        <v>2144</v>
      </c>
      <c r="B49" t="s">
        <v>2125</v>
      </c>
      <c r="C49" t="s">
        <v>2126</v>
      </c>
      <c r="D49" t="s">
        <v>2127</v>
      </c>
      <c r="E49" t="s">
        <v>2128</v>
      </c>
      <c r="F49" t="s">
        <v>2129</v>
      </c>
      <c r="G49" t="s">
        <v>2130</v>
      </c>
      <c r="H49" t="s">
        <v>2131</v>
      </c>
      <c r="I49" t="s">
        <v>2132</v>
      </c>
      <c r="J49" t="s">
        <v>2133</v>
      </c>
      <c r="K49" t="s">
        <v>2134</v>
      </c>
      <c r="L49" t="s">
        <v>2135</v>
      </c>
      <c r="M49" t="s">
        <v>2135</v>
      </c>
      <c r="N49" t="s">
        <v>2136</v>
      </c>
      <c r="O49" t="s">
        <v>2137</v>
      </c>
      <c r="P49" t="s">
        <v>2138</v>
      </c>
      <c r="Q49" t="s">
        <v>2139</v>
      </c>
      <c r="R49" t="s">
        <v>2140</v>
      </c>
      <c r="S49" t="s">
        <v>2141</v>
      </c>
      <c r="T49" t="s">
        <v>2142</v>
      </c>
      <c r="U49" t="s">
        <v>2143</v>
      </c>
      <c r="V49" t="s">
        <v>2144</v>
      </c>
      <c r="W49" t="s">
        <v>2145</v>
      </c>
      <c r="X49" t="s">
        <v>2133</v>
      </c>
      <c r="Y49" t="s">
        <v>2146</v>
      </c>
      <c r="Z49" t="s">
        <v>2147</v>
      </c>
      <c r="AA49" t="s">
        <v>2138</v>
      </c>
      <c r="AB49" t="s">
        <v>2148</v>
      </c>
      <c r="AC49" t="s">
        <v>2149</v>
      </c>
      <c r="AD49" t="s">
        <v>2130</v>
      </c>
      <c r="AE49" t="s">
        <v>2142</v>
      </c>
      <c r="AF49" t="s">
        <v>2150</v>
      </c>
      <c r="AG49" t="s">
        <v>2146</v>
      </c>
      <c r="AH49" t="s">
        <v>2151</v>
      </c>
      <c r="AI49" t="s">
        <v>2133</v>
      </c>
      <c r="AJ49" t="s">
        <v>2142</v>
      </c>
      <c r="AK49" t="s">
        <v>2152</v>
      </c>
      <c r="AL49" t="s">
        <v>2153</v>
      </c>
      <c r="AM49" t="s">
        <v>2154</v>
      </c>
      <c r="AN49" t="s">
        <v>2155</v>
      </c>
      <c r="AO49" t="s">
        <v>2156</v>
      </c>
      <c r="AP49" t="s">
        <v>2157</v>
      </c>
      <c r="AQ49" t="s">
        <v>2150</v>
      </c>
    </row>
    <row r="50" spans="1:43" x14ac:dyDescent="0.2">
      <c r="A50" t="s">
        <v>837</v>
      </c>
      <c r="B50" t="s">
        <v>2248</v>
      </c>
      <c r="C50" t="s">
        <v>1258</v>
      </c>
      <c r="D50" t="s">
        <v>691</v>
      </c>
      <c r="E50" t="s">
        <v>1507</v>
      </c>
      <c r="F50" t="s">
        <v>1061</v>
      </c>
      <c r="G50" t="s">
        <v>1348</v>
      </c>
      <c r="H50" t="s">
        <v>109</v>
      </c>
      <c r="I50" t="s">
        <v>1589</v>
      </c>
      <c r="J50" t="s">
        <v>22</v>
      </c>
      <c r="K50" t="s">
        <v>1829</v>
      </c>
      <c r="L50" t="s">
        <v>1690</v>
      </c>
      <c r="M50" t="s">
        <v>1098</v>
      </c>
      <c r="N50" t="s">
        <v>1020</v>
      </c>
      <c r="O50" t="s">
        <v>837</v>
      </c>
      <c r="P50" t="s">
        <v>1036</v>
      </c>
      <c r="Q50" t="s">
        <v>1402</v>
      </c>
      <c r="R50" t="s">
        <v>318</v>
      </c>
      <c r="S50" t="s">
        <v>1778</v>
      </c>
      <c r="T50" t="s">
        <v>1316</v>
      </c>
      <c r="U50" t="s">
        <v>592</v>
      </c>
      <c r="V50" t="s">
        <v>1457</v>
      </c>
      <c r="W50" t="s">
        <v>1922</v>
      </c>
      <c r="X50" t="s">
        <v>336</v>
      </c>
      <c r="Y50" t="s">
        <v>2249</v>
      </c>
      <c r="Z50" t="s">
        <v>464</v>
      </c>
      <c r="AA50" t="s">
        <v>1690</v>
      </c>
      <c r="AB50" t="s">
        <v>1165</v>
      </c>
      <c r="AC50" t="s">
        <v>164</v>
      </c>
      <c r="AD50" t="s">
        <v>1661</v>
      </c>
      <c r="AE50" t="s">
        <v>1457</v>
      </c>
      <c r="AF50" t="s">
        <v>1061</v>
      </c>
      <c r="AG50" t="s">
        <v>2250</v>
      </c>
      <c r="AH50" t="s">
        <v>2251</v>
      </c>
      <c r="AI50" t="s">
        <v>429</v>
      </c>
      <c r="AJ50" t="s">
        <v>1006</v>
      </c>
      <c r="AK50" t="s">
        <v>1690</v>
      </c>
      <c r="AL50" t="s">
        <v>2252</v>
      </c>
      <c r="AM50" t="s">
        <v>1211</v>
      </c>
      <c r="AN50" t="s">
        <v>1874</v>
      </c>
      <c r="AO50" t="s">
        <v>759</v>
      </c>
      <c r="AP50" t="s">
        <v>528</v>
      </c>
      <c r="AQ50" t="s">
        <v>1061</v>
      </c>
    </row>
    <row r="51" spans="1:43" x14ac:dyDescent="0.2">
      <c r="A51" t="s">
        <v>955</v>
      </c>
      <c r="B51" t="s">
        <v>716</v>
      </c>
      <c r="C51" t="s">
        <v>1259</v>
      </c>
      <c r="D51" t="s">
        <v>692</v>
      </c>
      <c r="E51" t="s">
        <v>1508</v>
      </c>
      <c r="F51" t="s">
        <v>1062</v>
      </c>
      <c r="G51" t="s">
        <v>1349</v>
      </c>
      <c r="H51" t="s">
        <v>110</v>
      </c>
      <c r="I51" t="s">
        <v>1590</v>
      </c>
      <c r="J51" t="s">
        <v>23</v>
      </c>
      <c r="K51" t="s">
        <v>1830</v>
      </c>
      <c r="L51" t="s">
        <v>1037</v>
      </c>
      <c r="M51" t="s">
        <v>1099</v>
      </c>
      <c r="N51" t="s">
        <v>1021</v>
      </c>
      <c r="O51" t="s">
        <v>2253</v>
      </c>
      <c r="P51" t="s">
        <v>1037</v>
      </c>
      <c r="Q51" t="s">
        <v>1403</v>
      </c>
      <c r="R51" t="s">
        <v>319</v>
      </c>
      <c r="S51" t="s">
        <v>1779</v>
      </c>
      <c r="T51" t="s">
        <v>955</v>
      </c>
      <c r="U51" t="s">
        <v>955</v>
      </c>
      <c r="V51" t="s">
        <v>955</v>
      </c>
      <c r="W51" t="s">
        <v>1923</v>
      </c>
      <c r="X51" t="s">
        <v>23</v>
      </c>
      <c r="Y51" t="s">
        <v>2254</v>
      </c>
      <c r="Z51" t="s">
        <v>465</v>
      </c>
      <c r="AA51" t="s">
        <v>955</v>
      </c>
      <c r="AB51" t="s">
        <v>1166</v>
      </c>
      <c r="AC51" t="s">
        <v>955</v>
      </c>
      <c r="AD51" t="s">
        <v>264</v>
      </c>
      <c r="AE51" t="s">
        <v>955</v>
      </c>
      <c r="AF51" t="s">
        <v>1062</v>
      </c>
      <c r="AG51" t="s">
        <v>2255</v>
      </c>
      <c r="AH51" t="s">
        <v>264</v>
      </c>
      <c r="AI51" t="s">
        <v>430</v>
      </c>
      <c r="AJ51" t="s">
        <v>955</v>
      </c>
      <c r="AK51" t="s">
        <v>1037</v>
      </c>
      <c r="AL51" t="s">
        <v>209</v>
      </c>
      <c r="AM51" t="s">
        <v>1212</v>
      </c>
      <c r="AN51" t="s">
        <v>2256</v>
      </c>
      <c r="AO51" t="s">
        <v>760</v>
      </c>
      <c r="AP51" t="s">
        <v>2257</v>
      </c>
      <c r="AQ51" t="s">
        <v>1062</v>
      </c>
    </row>
    <row r="52" spans="1:43" x14ac:dyDescent="0.2">
      <c r="A52" t="s">
        <v>2242</v>
      </c>
      <c r="B52" t="s">
        <v>2258</v>
      </c>
      <c r="C52" t="s">
        <v>2259</v>
      </c>
      <c r="D52" t="s">
        <v>2260</v>
      </c>
      <c r="E52" t="s">
        <v>2261</v>
      </c>
      <c r="F52" t="s">
        <v>2262</v>
      </c>
      <c r="G52" t="s">
        <v>2263</v>
      </c>
      <c r="H52" t="s">
        <v>2264</v>
      </c>
      <c r="I52" t="s">
        <v>2265</v>
      </c>
      <c r="J52" t="s">
        <v>2266</v>
      </c>
      <c r="K52" t="s">
        <v>2267</v>
      </c>
      <c r="L52" t="s">
        <v>2242</v>
      </c>
      <c r="M52" t="s">
        <v>2242</v>
      </c>
      <c r="N52" t="s">
        <v>2268</v>
      </c>
      <c r="O52" t="s">
        <v>2242</v>
      </c>
      <c r="P52" t="s">
        <v>2269</v>
      </c>
      <c r="Q52" t="s">
        <v>2270</v>
      </c>
      <c r="R52" t="s">
        <v>2271</v>
      </c>
      <c r="S52" t="s">
        <v>2242</v>
      </c>
      <c r="T52" t="s">
        <v>2272</v>
      </c>
      <c r="U52" t="s">
        <v>2242</v>
      </c>
      <c r="V52" t="s">
        <v>2242</v>
      </c>
      <c r="W52" t="s">
        <v>2273</v>
      </c>
      <c r="X52" t="s">
        <v>2266</v>
      </c>
      <c r="Y52" t="s">
        <v>2274</v>
      </c>
      <c r="Z52" t="s">
        <v>2275</v>
      </c>
      <c r="AA52" t="s">
        <v>2242</v>
      </c>
      <c r="AB52" t="s">
        <v>2276</v>
      </c>
      <c r="AC52" t="s">
        <v>2272</v>
      </c>
      <c r="AD52" t="s">
        <v>2277</v>
      </c>
      <c r="AE52" t="s">
        <v>2278</v>
      </c>
      <c r="AF52" t="s">
        <v>2262</v>
      </c>
      <c r="AG52" t="s">
        <v>2274</v>
      </c>
      <c r="AH52" t="s">
        <v>2279</v>
      </c>
      <c r="AI52" t="s">
        <v>2266</v>
      </c>
      <c r="AJ52" t="s">
        <v>2242</v>
      </c>
      <c r="AK52" t="s">
        <v>2242</v>
      </c>
      <c r="AL52" t="s">
        <v>2280</v>
      </c>
      <c r="AM52" t="s">
        <v>2281</v>
      </c>
      <c r="AN52" t="s">
        <v>2242</v>
      </c>
      <c r="AO52" t="s">
        <v>2282</v>
      </c>
      <c r="AP52" t="s">
        <v>2283</v>
      </c>
      <c r="AQ52" t="s">
        <v>2262</v>
      </c>
    </row>
    <row r="53" spans="1:43" x14ac:dyDescent="0.2">
      <c r="A53" t="s">
        <v>956</v>
      </c>
      <c r="B53" t="s">
        <v>1213</v>
      </c>
      <c r="C53" t="s">
        <v>1260</v>
      </c>
      <c r="D53" t="s">
        <v>693</v>
      </c>
      <c r="E53" t="s">
        <v>956</v>
      </c>
      <c r="F53" t="s">
        <v>1063</v>
      </c>
      <c r="G53" t="s">
        <v>956</v>
      </c>
      <c r="H53" t="s">
        <v>111</v>
      </c>
      <c r="I53" t="s">
        <v>1591</v>
      </c>
      <c r="J53" t="s">
        <v>1213</v>
      </c>
      <c r="K53" t="s">
        <v>956</v>
      </c>
      <c r="L53" t="s">
        <v>956</v>
      </c>
      <c r="M53" t="s">
        <v>956</v>
      </c>
      <c r="N53" t="s">
        <v>956</v>
      </c>
      <c r="O53" t="s">
        <v>2284</v>
      </c>
      <c r="P53" t="s">
        <v>956</v>
      </c>
      <c r="Q53" t="s">
        <v>1404</v>
      </c>
      <c r="R53" t="s">
        <v>320</v>
      </c>
      <c r="S53" t="s">
        <v>1780</v>
      </c>
      <c r="T53" t="s">
        <v>956</v>
      </c>
      <c r="U53" t="s">
        <v>1213</v>
      </c>
      <c r="V53" t="s">
        <v>956</v>
      </c>
      <c r="W53" t="s">
        <v>2285</v>
      </c>
      <c r="X53" t="s">
        <v>1213</v>
      </c>
      <c r="Y53" t="s">
        <v>1063</v>
      </c>
      <c r="Z53" t="s">
        <v>956</v>
      </c>
      <c r="AA53" t="s">
        <v>956</v>
      </c>
      <c r="AB53" t="s">
        <v>1167</v>
      </c>
      <c r="AC53" t="s">
        <v>956</v>
      </c>
      <c r="AD53" t="s">
        <v>1213</v>
      </c>
      <c r="AE53" t="s">
        <v>956</v>
      </c>
      <c r="AF53" t="s">
        <v>1063</v>
      </c>
      <c r="AG53" t="s">
        <v>1063</v>
      </c>
      <c r="AH53" t="s">
        <v>956</v>
      </c>
      <c r="AI53" t="s">
        <v>1213</v>
      </c>
      <c r="AJ53" t="s">
        <v>956</v>
      </c>
      <c r="AK53" t="s">
        <v>956</v>
      </c>
      <c r="AL53" t="s">
        <v>210</v>
      </c>
      <c r="AM53" t="s">
        <v>1213</v>
      </c>
      <c r="AN53" t="s">
        <v>956</v>
      </c>
      <c r="AO53" t="s">
        <v>1063</v>
      </c>
      <c r="AP53" t="s">
        <v>2286</v>
      </c>
      <c r="AQ53" t="s">
        <v>1063</v>
      </c>
    </row>
    <row r="54" spans="1:43" x14ac:dyDescent="0.2">
      <c r="A54" t="s">
        <v>957</v>
      </c>
      <c r="B54" t="s">
        <v>2287</v>
      </c>
      <c r="C54" t="s">
        <v>1261</v>
      </c>
      <c r="D54" t="s">
        <v>2288</v>
      </c>
      <c r="E54" t="s">
        <v>1509</v>
      </c>
      <c r="F54" t="s">
        <v>1565</v>
      </c>
      <c r="G54" t="s">
        <v>2289</v>
      </c>
      <c r="H54" t="s">
        <v>112</v>
      </c>
      <c r="I54" t="s">
        <v>1592</v>
      </c>
      <c r="J54" t="s">
        <v>24</v>
      </c>
      <c r="K54" t="s">
        <v>1831</v>
      </c>
      <c r="L54" t="s">
        <v>1691</v>
      </c>
      <c r="M54" t="s">
        <v>1100</v>
      </c>
      <c r="N54" t="s">
        <v>1022</v>
      </c>
      <c r="O54" t="s">
        <v>1728</v>
      </c>
      <c r="P54" t="s">
        <v>1038</v>
      </c>
      <c r="Q54" t="s">
        <v>1405</v>
      </c>
      <c r="R54" t="s">
        <v>321</v>
      </c>
      <c r="S54" t="s">
        <v>1781</v>
      </c>
      <c r="T54" t="s">
        <v>1317</v>
      </c>
      <c r="U54" t="s">
        <v>1691</v>
      </c>
      <c r="V54" t="s">
        <v>2290</v>
      </c>
      <c r="W54" t="s">
        <v>1924</v>
      </c>
      <c r="X54" t="s">
        <v>376</v>
      </c>
      <c r="Y54" t="s">
        <v>1627</v>
      </c>
      <c r="Z54" t="s">
        <v>1458</v>
      </c>
      <c r="AA54" t="s">
        <v>1100</v>
      </c>
      <c r="AB54" t="s">
        <v>1168</v>
      </c>
      <c r="AC54" t="s">
        <v>2291</v>
      </c>
      <c r="AD54" t="s">
        <v>1350</v>
      </c>
      <c r="AE54" t="s">
        <v>2292</v>
      </c>
      <c r="AF54" t="s">
        <v>1064</v>
      </c>
      <c r="AG54" t="s">
        <v>1627</v>
      </c>
      <c r="AH54" t="s">
        <v>2293</v>
      </c>
      <c r="AI54" t="s">
        <v>431</v>
      </c>
      <c r="AJ54" t="s">
        <v>1007</v>
      </c>
      <c r="AK54" t="s">
        <v>790</v>
      </c>
      <c r="AL54" t="s">
        <v>2294</v>
      </c>
      <c r="AM54" t="s">
        <v>1214</v>
      </c>
      <c r="AN54" t="s">
        <v>1875</v>
      </c>
      <c r="AO54" t="s">
        <v>761</v>
      </c>
      <c r="AP54" t="s">
        <v>2295</v>
      </c>
      <c r="AQ54" t="s">
        <v>2711</v>
      </c>
    </row>
    <row r="55" spans="1:43" x14ac:dyDescent="0.2">
      <c r="A55" t="s">
        <v>2243</v>
      </c>
      <c r="B55" t="s">
        <v>2296</v>
      </c>
      <c r="C55" t="s">
        <v>2297</v>
      </c>
      <c r="D55" t="s">
        <v>2298</v>
      </c>
      <c r="E55" t="s">
        <v>2243</v>
      </c>
      <c r="F55" t="s">
        <v>2243</v>
      </c>
      <c r="G55" t="s">
        <v>2243</v>
      </c>
      <c r="H55" t="s">
        <v>2299</v>
      </c>
      <c r="I55" t="s">
        <v>2300</v>
      </c>
      <c r="J55" t="s">
        <v>2301</v>
      </c>
      <c r="K55" t="s">
        <v>2301</v>
      </c>
      <c r="L55" t="s">
        <v>2243</v>
      </c>
      <c r="M55" t="s">
        <v>2243</v>
      </c>
      <c r="N55" t="s">
        <v>2243</v>
      </c>
      <c r="O55" t="s">
        <v>2302</v>
      </c>
      <c r="P55" t="s">
        <v>2243</v>
      </c>
      <c r="Q55" t="s">
        <v>2303</v>
      </c>
      <c r="R55" t="s">
        <v>2304</v>
      </c>
      <c r="S55" t="s">
        <v>2243</v>
      </c>
      <c r="T55" t="s">
        <v>2305</v>
      </c>
      <c r="U55" t="s">
        <v>2243</v>
      </c>
      <c r="V55" t="s">
        <v>2306</v>
      </c>
      <c r="W55" t="s">
        <v>2307</v>
      </c>
      <c r="X55" t="s">
        <v>2305</v>
      </c>
      <c r="Y55" t="s">
        <v>2308</v>
      </c>
      <c r="Z55" t="s">
        <v>2243</v>
      </c>
      <c r="AA55" t="s">
        <v>2243</v>
      </c>
      <c r="AB55" t="s">
        <v>2309</v>
      </c>
      <c r="AC55" t="s">
        <v>2310</v>
      </c>
      <c r="AD55" t="s">
        <v>2243</v>
      </c>
      <c r="AE55" t="s">
        <v>2243</v>
      </c>
      <c r="AF55" t="s">
        <v>2311</v>
      </c>
      <c r="AG55" t="s">
        <v>2312</v>
      </c>
      <c r="AH55" t="s">
        <v>2301</v>
      </c>
      <c r="AI55" t="s">
        <v>2243</v>
      </c>
      <c r="AJ55" t="s">
        <v>2243</v>
      </c>
      <c r="AK55" t="s">
        <v>2313</v>
      </c>
      <c r="AL55" t="s">
        <v>2314</v>
      </c>
      <c r="AM55" t="s">
        <v>2301</v>
      </c>
      <c r="AN55" t="s">
        <v>2243</v>
      </c>
      <c r="AO55" t="s">
        <v>2315</v>
      </c>
      <c r="AP55" t="s">
        <v>2316</v>
      </c>
      <c r="AQ55" t="s">
        <v>2311</v>
      </c>
    </row>
    <row r="56" spans="1:43" x14ac:dyDescent="0.2">
      <c r="A56" t="s">
        <v>958</v>
      </c>
      <c r="B56" t="s">
        <v>1955</v>
      </c>
      <c r="C56" t="s">
        <v>1262</v>
      </c>
      <c r="D56" t="s">
        <v>694</v>
      </c>
      <c r="E56" t="s">
        <v>1510</v>
      </c>
      <c r="F56" t="s">
        <v>1065</v>
      </c>
      <c r="G56" t="s">
        <v>1351</v>
      </c>
      <c r="H56" t="s">
        <v>1593</v>
      </c>
      <c r="I56" t="s">
        <v>1593</v>
      </c>
      <c r="J56" t="s">
        <v>958</v>
      </c>
      <c r="K56" t="s">
        <v>1832</v>
      </c>
      <c r="L56" t="s">
        <v>958</v>
      </c>
      <c r="M56" t="s">
        <v>958</v>
      </c>
      <c r="N56" t="s">
        <v>1023</v>
      </c>
      <c r="O56" t="s">
        <v>1729</v>
      </c>
      <c r="P56" t="s">
        <v>958</v>
      </c>
      <c r="Q56" t="s">
        <v>1406</v>
      </c>
      <c r="R56" t="s">
        <v>322</v>
      </c>
      <c r="S56" t="s">
        <v>1782</v>
      </c>
      <c r="T56" t="s">
        <v>1318</v>
      </c>
      <c r="U56" t="s">
        <v>958</v>
      </c>
      <c r="V56" t="s">
        <v>1459</v>
      </c>
      <c r="W56" t="s">
        <v>1925</v>
      </c>
      <c r="X56" t="s">
        <v>337</v>
      </c>
      <c r="Y56" t="s">
        <v>1628</v>
      </c>
      <c r="Z56" t="s">
        <v>466</v>
      </c>
      <c r="AA56" t="s">
        <v>958</v>
      </c>
      <c r="AB56" t="s">
        <v>1169</v>
      </c>
      <c r="AC56" t="s">
        <v>1955</v>
      </c>
      <c r="AD56" t="s">
        <v>1662</v>
      </c>
      <c r="AE56" t="s">
        <v>1955</v>
      </c>
      <c r="AF56" t="s">
        <v>1065</v>
      </c>
      <c r="AG56" t="s">
        <v>958</v>
      </c>
      <c r="AH56" t="s">
        <v>1832</v>
      </c>
      <c r="AI56" t="s">
        <v>432</v>
      </c>
      <c r="AJ56" t="s">
        <v>1008</v>
      </c>
      <c r="AK56" t="s">
        <v>958</v>
      </c>
      <c r="AL56" t="s">
        <v>211</v>
      </c>
      <c r="AM56" t="s">
        <v>1215</v>
      </c>
      <c r="AN56" t="s">
        <v>1876</v>
      </c>
      <c r="AO56" t="s">
        <v>762</v>
      </c>
      <c r="AP56" t="s">
        <v>529</v>
      </c>
      <c r="AQ56" t="s">
        <v>1065</v>
      </c>
    </row>
    <row r="57" spans="1:43" x14ac:dyDescent="0.2">
      <c r="A57" t="s">
        <v>959</v>
      </c>
      <c r="B57" t="s">
        <v>1039</v>
      </c>
      <c r="C57" t="s">
        <v>1263</v>
      </c>
      <c r="D57" t="s">
        <v>695</v>
      </c>
      <c r="E57" t="s">
        <v>959</v>
      </c>
      <c r="F57" t="s">
        <v>1066</v>
      </c>
      <c r="G57" t="s">
        <v>1352</v>
      </c>
      <c r="H57" t="s">
        <v>113</v>
      </c>
      <c r="I57" t="s">
        <v>1594</v>
      </c>
      <c r="J57" t="s">
        <v>1039</v>
      </c>
      <c r="K57" t="s">
        <v>1039</v>
      </c>
      <c r="L57" t="s">
        <v>1024</v>
      </c>
      <c r="M57" t="s">
        <v>1101</v>
      </c>
      <c r="N57" t="s">
        <v>1024</v>
      </c>
      <c r="O57" t="s">
        <v>2317</v>
      </c>
      <c r="P57" t="s">
        <v>1039</v>
      </c>
      <c r="Q57" t="s">
        <v>1407</v>
      </c>
      <c r="R57" t="s">
        <v>323</v>
      </c>
      <c r="S57" t="s">
        <v>1039</v>
      </c>
      <c r="T57" t="s">
        <v>1039</v>
      </c>
      <c r="U57" t="s">
        <v>593</v>
      </c>
      <c r="V57" t="s">
        <v>1352</v>
      </c>
      <c r="W57" t="s">
        <v>1926</v>
      </c>
      <c r="X57" t="s">
        <v>338</v>
      </c>
      <c r="Y57" t="s">
        <v>2318</v>
      </c>
      <c r="Z57" t="s">
        <v>1039</v>
      </c>
      <c r="AA57" t="s">
        <v>1039</v>
      </c>
      <c r="AB57" t="s">
        <v>1170</v>
      </c>
      <c r="AC57" t="s">
        <v>1039</v>
      </c>
      <c r="AD57" t="s">
        <v>1663</v>
      </c>
      <c r="AE57" t="s">
        <v>1352</v>
      </c>
      <c r="AF57" t="s">
        <v>1066</v>
      </c>
      <c r="AG57" t="s">
        <v>1066</v>
      </c>
      <c r="AH57" t="s">
        <v>1039</v>
      </c>
      <c r="AI57" t="s">
        <v>1039</v>
      </c>
      <c r="AJ57" t="s">
        <v>1009</v>
      </c>
      <c r="AK57" t="s">
        <v>1039</v>
      </c>
      <c r="AL57" t="s">
        <v>212</v>
      </c>
      <c r="AM57" t="s">
        <v>1039</v>
      </c>
      <c r="AN57" t="s">
        <v>959</v>
      </c>
      <c r="AO57" t="s">
        <v>1066</v>
      </c>
      <c r="AP57" t="s">
        <v>530</v>
      </c>
      <c r="AQ57" t="s">
        <v>1066</v>
      </c>
    </row>
    <row r="58" spans="1:43" x14ac:dyDescent="0.2">
      <c r="A58" t="s">
        <v>960</v>
      </c>
      <c r="B58" t="s">
        <v>170</v>
      </c>
      <c r="C58" t="s">
        <v>410</v>
      </c>
      <c r="D58" t="s">
        <v>696</v>
      </c>
      <c r="E58" t="s">
        <v>1511</v>
      </c>
      <c r="F58" t="s">
        <v>1067</v>
      </c>
      <c r="G58" t="s">
        <v>1353</v>
      </c>
      <c r="H58" t="s">
        <v>1595</v>
      </c>
      <c r="I58" t="s">
        <v>1595</v>
      </c>
      <c r="J58" t="s">
        <v>25</v>
      </c>
      <c r="K58" t="s">
        <v>1833</v>
      </c>
      <c r="L58" t="s">
        <v>1040</v>
      </c>
      <c r="M58" t="s">
        <v>1102</v>
      </c>
      <c r="N58" t="s">
        <v>1025</v>
      </c>
      <c r="O58" t="s">
        <v>2319</v>
      </c>
      <c r="P58" t="s">
        <v>1040</v>
      </c>
      <c r="Q58" t="s">
        <v>1408</v>
      </c>
      <c r="R58" t="s">
        <v>324</v>
      </c>
      <c r="S58" t="s">
        <v>1783</v>
      </c>
      <c r="T58" t="s">
        <v>1010</v>
      </c>
      <c r="U58" t="s">
        <v>960</v>
      </c>
      <c r="V58" t="s">
        <v>1010</v>
      </c>
      <c r="W58" t="s">
        <v>1927</v>
      </c>
      <c r="X58" t="s">
        <v>25</v>
      </c>
      <c r="Y58" t="s">
        <v>1629</v>
      </c>
      <c r="Z58" t="s">
        <v>467</v>
      </c>
      <c r="AA58" t="s">
        <v>1010</v>
      </c>
      <c r="AB58" t="s">
        <v>1171</v>
      </c>
      <c r="AC58" t="s">
        <v>165</v>
      </c>
      <c r="AD58" t="s">
        <v>437</v>
      </c>
      <c r="AE58" t="s">
        <v>1010</v>
      </c>
      <c r="AF58" t="s">
        <v>1067</v>
      </c>
      <c r="AG58" t="s">
        <v>1629</v>
      </c>
      <c r="AH58" t="s">
        <v>2320</v>
      </c>
      <c r="AI58" t="s">
        <v>25</v>
      </c>
      <c r="AJ58" t="s">
        <v>1010</v>
      </c>
      <c r="AK58" t="s">
        <v>1040</v>
      </c>
      <c r="AL58" t="s">
        <v>213</v>
      </c>
      <c r="AM58" t="s">
        <v>1216</v>
      </c>
      <c r="AN58" t="s">
        <v>1877</v>
      </c>
      <c r="AO58" t="s">
        <v>763</v>
      </c>
      <c r="AP58" t="s">
        <v>2321</v>
      </c>
      <c r="AQ58" t="s">
        <v>1067</v>
      </c>
    </row>
    <row r="59" spans="1:43" x14ac:dyDescent="0.2">
      <c r="A59" t="s">
        <v>2244</v>
      </c>
      <c r="B59" t="s">
        <v>2322</v>
      </c>
      <c r="C59" t="s">
        <v>2323</v>
      </c>
      <c r="D59" t="s">
        <v>2324</v>
      </c>
      <c r="E59" t="s">
        <v>2325</v>
      </c>
      <c r="F59" t="s">
        <v>2326</v>
      </c>
      <c r="G59" t="s">
        <v>2327</v>
      </c>
      <c r="H59" t="s">
        <v>2328</v>
      </c>
      <c r="I59" t="s">
        <v>2329</v>
      </c>
      <c r="J59" t="s">
        <v>2325</v>
      </c>
      <c r="K59" t="s">
        <v>2330</v>
      </c>
      <c r="L59" t="s">
        <v>2244</v>
      </c>
      <c r="M59" t="s">
        <v>2244</v>
      </c>
      <c r="N59" t="s">
        <v>2331</v>
      </c>
      <c r="O59" t="s">
        <v>2332</v>
      </c>
      <c r="P59" t="s">
        <v>2244</v>
      </c>
      <c r="Q59" t="s">
        <v>2333</v>
      </c>
      <c r="R59" t="s">
        <v>2334</v>
      </c>
      <c r="S59" t="s">
        <v>2244</v>
      </c>
      <c r="T59" t="s">
        <v>2322</v>
      </c>
      <c r="U59" t="s">
        <v>2244</v>
      </c>
      <c r="V59" t="s">
        <v>2244</v>
      </c>
      <c r="W59" t="s">
        <v>2335</v>
      </c>
      <c r="X59" t="s">
        <v>2336</v>
      </c>
      <c r="Y59" t="s">
        <v>2326</v>
      </c>
      <c r="Z59" t="s">
        <v>2337</v>
      </c>
      <c r="AA59" t="s">
        <v>2244</v>
      </c>
      <c r="AB59" t="s">
        <v>2338</v>
      </c>
      <c r="AC59" t="s">
        <v>2337</v>
      </c>
      <c r="AD59" t="s">
        <v>2339</v>
      </c>
      <c r="AE59" t="s">
        <v>2244</v>
      </c>
      <c r="AF59" t="s">
        <v>2340</v>
      </c>
      <c r="AG59" t="s">
        <v>2326</v>
      </c>
      <c r="AH59" t="s">
        <v>2330</v>
      </c>
      <c r="AI59" t="s">
        <v>2325</v>
      </c>
      <c r="AJ59" t="s">
        <v>2244</v>
      </c>
      <c r="AK59" t="s">
        <v>2244</v>
      </c>
      <c r="AL59" t="s">
        <v>2341</v>
      </c>
      <c r="AM59" t="s">
        <v>2325</v>
      </c>
      <c r="AN59" t="s">
        <v>2244</v>
      </c>
      <c r="AO59" t="s">
        <v>2326</v>
      </c>
      <c r="AP59" t="s">
        <v>2342</v>
      </c>
      <c r="AQ59" t="s">
        <v>2340</v>
      </c>
    </row>
    <row r="60" spans="1:43" x14ac:dyDescent="0.2">
      <c r="A60" t="s">
        <v>2245</v>
      </c>
      <c r="B60" t="s">
        <v>2343</v>
      </c>
      <c r="C60" t="s">
        <v>2344</v>
      </c>
      <c r="D60" t="s">
        <v>2345</v>
      </c>
      <c r="E60" t="s">
        <v>2346</v>
      </c>
      <c r="F60" t="s">
        <v>2347</v>
      </c>
      <c r="G60" t="s">
        <v>2348</v>
      </c>
      <c r="H60" t="s">
        <v>2349</v>
      </c>
      <c r="I60" t="s">
        <v>2350</v>
      </c>
      <c r="J60" t="s">
        <v>2351</v>
      </c>
      <c r="K60" t="s">
        <v>2352</v>
      </c>
      <c r="L60" t="s">
        <v>2353</v>
      </c>
      <c r="M60" t="s">
        <v>2354</v>
      </c>
      <c r="N60" t="s">
        <v>2355</v>
      </c>
      <c r="O60" t="s">
        <v>2356</v>
      </c>
      <c r="P60" t="s">
        <v>2357</v>
      </c>
      <c r="Q60" t="s">
        <v>2358</v>
      </c>
      <c r="R60" t="s">
        <v>2359</v>
      </c>
      <c r="S60" t="s">
        <v>2360</v>
      </c>
      <c r="T60" t="s">
        <v>2351</v>
      </c>
      <c r="U60" t="s">
        <v>2361</v>
      </c>
      <c r="V60" t="s">
        <v>2362</v>
      </c>
      <c r="W60" t="s">
        <v>2363</v>
      </c>
      <c r="X60" t="s">
        <v>2364</v>
      </c>
      <c r="Y60" t="s">
        <v>2347</v>
      </c>
      <c r="Z60" t="s">
        <v>2365</v>
      </c>
      <c r="AA60" t="s">
        <v>2366</v>
      </c>
      <c r="AB60" t="s">
        <v>2367</v>
      </c>
      <c r="AC60" t="s">
        <v>2368</v>
      </c>
      <c r="AD60" t="s">
        <v>2369</v>
      </c>
      <c r="AE60" t="s">
        <v>2245</v>
      </c>
      <c r="AF60" t="s">
        <v>2370</v>
      </c>
      <c r="AG60" t="s">
        <v>2347</v>
      </c>
      <c r="AH60" t="s">
        <v>2352</v>
      </c>
      <c r="AI60" t="s">
        <v>2371</v>
      </c>
      <c r="AJ60" t="s">
        <v>2351</v>
      </c>
      <c r="AK60" t="s">
        <v>2372</v>
      </c>
      <c r="AL60" t="s">
        <v>2373</v>
      </c>
      <c r="AM60" t="s">
        <v>2374</v>
      </c>
      <c r="AN60" t="s">
        <v>2245</v>
      </c>
      <c r="AO60" t="s">
        <v>2375</v>
      </c>
      <c r="AP60" t="s">
        <v>2376</v>
      </c>
      <c r="AQ60" t="s">
        <v>2722</v>
      </c>
    </row>
    <row r="61" spans="1:43" x14ac:dyDescent="0.2">
      <c r="A61" t="s">
        <v>2246</v>
      </c>
      <c r="B61" t="s">
        <v>2246</v>
      </c>
      <c r="C61" t="s">
        <v>2377</v>
      </c>
      <c r="D61" t="s">
        <v>2378</v>
      </c>
      <c r="E61" t="s">
        <v>2379</v>
      </c>
      <c r="F61" t="s">
        <v>2380</v>
      </c>
      <c r="G61" t="s">
        <v>2246</v>
      </c>
      <c r="H61" t="s">
        <v>2381</v>
      </c>
      <c r="I61" t="s">
        <v>2381</v>
      </c>
      <c r="J61" t="s">
        <v>2246</v>
      </c>
      <c r="K61" t="s">
        <v>2382</v>
      </c>
      <c r="L61" t="s">
        <v>2246</v>
      </c>
      <c r="M61" t="s">
        <v>2246</v>
      </c>
      <c r="N61" t="s">
        <v>2246</v>
      </c>
      <c r="O61" t="s">
        <v>2383</v>
      </c>
      <c r="P61" t="s">
        <v>2246</v>
      </c>
      <c r="Q61" t="s">
        <v>2384</v>
      </c>
      <c r="R61" t="s">
        <v>2385</v>
      </c>
      <c r="S61" t="s">
        <v>2386</v>
      </c>
      <c r="T61" t="s">
        <v>2246</v>
      </c>
      <c r="U61" t="s">
        <v>2387</v>
      </c>
      <c r="V61" t="s">
        <v>2246</v>
      </c>
      <c r="W61" t="s">
        <v>2388</v>
      </c>
      <c r="X61" t="s">
        <v>2389</v>
      </c>
      <c r="Y61" t="s">
        <v>2380</v>
      </c>
      <c r="Z61" t="s">
        <v>2246</v>
      </c>
      <c r="AA61" t="s">
        <v>2246</v>
      </c>
      <c r="AB61" t="s">
        <v>2390</v>
      </c>
      <c r="AC61" t="s">
        <v>2246</v>
      </c>
      <c r="AD61" t="s">
        <v>2391</v>
      </c>
      <c r="AE61" t="s">
        <v>2246</v>
      </c>
      <c r="AF61" t="s">
        <v>2380</v>
      </c>
      <c r="AG61" t="s">
        <v>2380</v>
      </c>
      <c r="AH61" t="s">
        <v>2386</v>
      </c>
      <c r="AI61" t="s">
        <v>2246</v>
      </c>
      <c r="AJ61" t="s">
        <v>2386</v>
      </c>
      <c r="AK61" t="s">
        <v>2246</v>
      </c>
      <c r="AL61" t="s">
        <v>2392</v>
      </c>
      <c r="AM61" t="s">
        <v>2379</v>
      </c>
      <c r="AN61" t="s">
        <v>2246</v>
      </c>
      <c r="AO61" t="s">
        <v>2393</v>
      </c>
      <c r="AP61" t="s">
        <v>2390</v>
      </c>
      <c r="AQ61" t="s">
        <v>2712</v>
      </c>
    </row>
    <row r="62" spans="1:43" x14ac:dyDescent="0.2">
      <c r="A62" t="s">
        <v>961</v>
      </c>
      <c r="B62" t="s">
        <v>631</v>
      </c>
      <c r="C62" t="s">
        <v>1264</v>
      </c>
      <c r="D62" t="s">
        <v>697</v>
      </c>
      <c r="E62" t="s">
        <v>1512</v>
      </c>
      <c r="F62" t="s">
        <v>1068</v>
      </c>
      <c r="G62" t="s">
        <v>1011</v>
      </c>
      <c r="H62" t="s">
        <v>1596</v>
      </c>
      <c r="I62" t="s">
        <v>1596</v>
      </c>
      <c r="J62" t="s">
        <v>961</v>
      </c>
      <c r="K62" t="s">
        <v>1834</v>
      </c>
      <c r="L62" t="s">
        <v>1041</v>
      </c>
      <c r="M62" t="s">
        <v>1103</v>
      </c>
      <c r="N62" t="s">
        <v>1026</v>
      </c>
      <c r="O62" t="s">
        <v>1730</v>
      </c>
      <c r="P62" t="s">
        <v>1041</v>
      </c>
      <c r="Q62" t="s">
        <v>1409</v>
      </c>
      <c r="R62" t="s">
        <v>325</v>
      </c>
      <c r="S62" t="s">
        <v>1784</v>
      </c>
      <c r="T62" t="s">
        <v>961</v>
      </c>
      <c r="U62" t="s">
        <v>594</v>
      </c>
      <c r="V62" t="s">
        <v>1460</v>
      </c>
      <c r="W62" t="s">
        <v>1928</v>
      </c>
      <c r="X62" t="s">
        <v>339</v>
      </c>
      <c r="Y62" t="s">
        <v>1630</v>
      </c>
      <c r="Z62" t="s">
        <v>468</v>
      </c>
      <c r="AA62" t="s">
        <v>1011</v>
      </c>
      <c r="AB62" t="s">
        <v>1172</v>
      </c>
      <c r="AC62" t="s">
        <v>166</v>
      </c>
      <c r="AD62" t="s">
        <v>1011</v>
      </c>
      <c r="AE62" t="s">
        <v>1956</v>
      </c>
      <c r="AF62" t="s">
        <v>1068</v>
      </c>
      <c r="AG62" t="s">
        <v>961</v>
      </c>
      <c r="AH62" t="s">
        <v>1784</v>
      </c>
      <c r="AI62" t="s">
        <v>339</v>
      </c>
      <c r="AJ62" t="s">
        <v>1011</v>
      </c>
      <c r="AK62" t="s">
        <v>1041</v>
      </c>
      <c r="AL62" t="s">
        <v>214</v>
      </c>
      <c r="AM62" t="s">
        <v>1217</v>
      </c>
      <c r="AN62" t="s">
        <v>1878</v>
      </c>
      <c r="AO62" t="s">
        <v>764</v>
      </c>
      <c r="AP62" t="s">
        <v>531</v>
      </c>
      <c r="AQ62" t="s">
        <v>1068</v>
      </c>
    </row>
    <row r="63" spans="1:43" x14ac:dyDescent="0.2">
      <c r="A63" t="s">
        <v>2247</v>
      </c>
      <c r="B63" t="s">
        <v>2394</v>
      </c>
      <c r="C63" t="s">
        <v>2395</v>
      </c>
      <c r="D63" t="s">
        <v>2396</v>
      </c>
      <c r="E63" t="s">
        <v>2397</v>
      </c>
      <c r="F63" t="s">
        <v>2398</v>
      </c>
      <c r="G63" t="s">
        <v>2399</v>
      </c>
      <c r="H63" t="s">
        <v>2400</v>
      </c>
      <c r="I63" t="s">
        <v>2401</v>
      </c>
      <c r="J63" t="s">
        <v>2402</v>
      </c>
      <c r="K63" t="s">
        <v>2403</v>
      </c>
      <c r="L63" t="s">
        <v>2404</v>
      </c>
      <c r="M63" t="s">
        <v>2405</v>
      </c>
      <c r="N63" t="s">
        <v>2406</v>
      </c>
      <c r="O63" t="s">
        <v>2407</v>
      </c>
      <c r="P63" t="s">
        <v>2404</v>
      </c>
      <c r="Q63" t="s">
        <v>2408</v>
      </c>
      <c r="R63" t="s">
        <v>2409</v>
      </c>
      <c r="S63" t="s">
        <v>2247</v>
      </c>
      <c r="T63" t="s">
        <v>2410</v>
      </c>
      <c r="U63" t="s">
        <v>2247</v>
      </c>
      <c r="V63" t="s">
        <v>2411</v>
      </c>
      <c r="W63" t="s">
        <v>2412</v>
      </c>
      <c r="X63" t="s">
        <v>2402</v>
      </c>
      <c r="Y63" t="s">
        <v>2413</v>
      </c>
      <c r="Z63" t="s">
        <v>2414</v>
      </c>
      <c r="AA63" t="s">
        <v>2410</v>
      </c>
      <c r="AB63" t="s">
        <v>2415</v>
      </c>
      <c r="AC63" t="s">
        <v>2410</v>
      </c>
      <c r="AD63" t="s">
        <v>2416</v>
      </c>
      <c r="AE63" t="s">
        <v>2410</v>
      </c>
      <c r="AF63" t="s">
        <v>2417</v>
      </c>
      <c r="AG63" t="s">
        <v>2418</v>
      </c>
      <c r="AH63" t="s">
        <v>2419</v>
      </c>
      <c r="AI63" t="s">
        <v>2402</v>
      </c>
      <c r="AJ63" t="s">
        <v>2416</v>
      </c>
      <c r="AK63" t="s">
        <v>2404</v>
      </c>
      <c r="AL63" t="s">
        <v>2420</v>
      </c>
      <c r="AM63" t="s">
        <v>2397</v>
      </c>
      <c r="AN63" t="s">
        <v>2421</v>
      </c>
      <c r="AO63" t="s">
        <v>2422</v>
      </c>
      <c r="AP63" t="s">
        <v>2423</v>
      </c>
      <c r="AQ63" t="s">
        <v>2417</v>
      </c>
    </row>
    <row r="64" spans="1:43" x14ac:dyDescent="0.2">
      <c r="A64" t="s">
        <v>962</v>
      </c>
      <c r="B64" t="s">
        <v>2424</v>
      </c>
      <c r="C64" t="s">
        <v>2425</v>
      </c>
      <c r="D64" t="s">
        <v>2426</v>
      </c>
      <c r="E64" t="s">
        <v>2426</v>
      </c>
      <c r="F64" t="s">
        <v>2427</v>
      </c>
      <c r="G64" t="s">
        <v>2426</v>
      </c>
      <c r="H64" t="s">
        <v>114</v>
      </c>
      <c r="I64" t="s">
        <v>114</v>
      </c>
      <c r="J64" t="s">
        <v>731</v>
      </c>
      <c r="K64" t="s">
        <v>1835</v>
      </c>
      <c r="L64" t="s">
        <v>2426</v>
      </c>
      <c r="M64" t="s">
        <v>1104</v>
      </c>
      <c r="N64" t="s">
        <v>2426</v>
      </c>
      <c r="O64" t="s">
        <v>2426</v>
      </c>
      <c r="P64" t="s">
        <v>962</v>
      </c>
      <c r="Q64" t="s">
        <v>2428</v>
      </c>
      <c r="R64" t="s">
        <v>2429</v>
      </c>
      <c r="S64" t="s">
        <v>1785</v>
      </c>
      <c r="T64" t="s">
        <v>2426</v>
      </c>
      <c r="U64" t="s">
        <v>2426</v>
      </c>
      <c r="V64" t="s">
        <v>2430</v>
      </c>
      <c r="W64" t="s">
        <v>2431</v>
      </c>
      <c r="X64" t="s">
        <v>340</v>
      </c>
      <c r="Y64" t="s">
        <v>2432</v>
      </c>
      <c r="Z64" t="s">
        <v>2426</v>
      </c>
      <c r="AA64" t="s">
        <v>962</v>
      </c>
      <c r="AB64" t="s">
        <v>1173</v>
      </c>
      <c r="AC64" t="s">
        <v>167</v>
      </c>
      <c r="AD64" t="s">
        <v>2426</v>
      </c>
      <c r="AE64" t="s">
        <v>2426</v>
      </c>
      <c r="AF64" t="s">
        <v>2433</v>
      </c>
      <c r="AG64" t="s">
        <v>2434</v>
      </c>
      <c r="AH64" t="s">
        <v>265</v>
      </c>
      <c r="AI64" t="s">
        <v>433</v>
      </c>
      <c r="AJ64" t="s">
        <v>2426</v>
      </c>
      <c r="AK64" t="s">
        <v>66</v>
      </c>
      <c r="AL64" t="s">
        <v>2435</v>
      </c>
      <c r="AM64" t="s">
        <v>1218</v>
      </c>
      <c r="AN64" t="s">
        <v>2426</v>
      </c>
      <c r="AO64" t="s">
        <v>2436</v>
      </c>
      <c r="AP64" t="s">
        <v>2437</v>
      </c>
      <c r="AQ64" t="s">
        <v>2723</v>
      </c>
    </row>
    <row r="65" spans="1:43" x14ac:dyDescent="0.2">
      <c r="A65" t="s">
        <v>963</v>
      </c>
      <c r="B65" t="s">
        <v>2438</v>
      </c>
      <c r="C65" t="s">
        <v>1265</v>
      </c>
      <c r="D65" t="s">
        <v>698</v>
      </c>
      <c r="E65" t="s">
        <v>1513</v>
      </c>
      <c r="F65" t="s">
        <v>1069</v>
      </c>
      <c r="G65" t="s">
        <v>963</v>
      </c>
      <c r="H65" t="s">
        <v>1597</v>
      </c>
      <c r="I65" t="s">
        <v>1597</v>
      </c>
      <c r="J65" t="s">
        <v>341</v>
      </c>
      <c r="K65" t="s">
        <v>1836</v>
      </c>
      <c r="L65" t="s">
        <v>963</v>
      </c>
      <c r="M65" t="s">
        <v>963</v>
      </c>
      <c r="N65" t="s">
        <v>963</v>
      </c>
      <c r="O65" t="s">
        <v>2439</v>
      </c>
      <c r="P65" t="s">
        <v>963</v>
      </c>
      <c r="Q65" t="s">
        <v>1410</v>
      </c>
      <c r="R65" t="s">
        <v>326</v>
      </c>
      <c r="S65" t="s">
        <v>1786</v>
      </c>
      <c r="T65" t="s">
        <v>963</v>
      </c>
      <c r="U65" t="s">
        <v>963</v>
      </c>
      <c r="V65" t="s">
        <v>1461</v>
      </c>
      <c r="W65" t="s">
        <v>1929</v>
      </c>
      <c r="X65" t="s">
        <v>341</v>
      </c>
      <c r="Y65" t="s">
        <v>1631</v>
      </c>
      <c r="Z65" t="s">
        <v>2440</v>
      </c>
      <c r="AA65" t="s">
        <v>963</v>
      </c>
      <c r="AB65" t="s">
        <v>2441</v>
      </c>
      <c r="AC65" t="s">
        <v>1957</v>
      </c>
      <c r="AD65" t="s">
        <v>963</v>
      </c>
      <c r="AE65" t="s">
        <v>1957</v>
      </c>
      <c r="AF65" t="s">
        <v>1069</v>
      </c>
      <c r="AG65" t="s">
        <v>1631</v>
      </c>
      <c r="AH65" t="s">
        <v>1836</v>
      </c>
      <c r="AI65" t="s">
        <v>434</v>
      </c>
      <c r="AJ65" t="s">
        <v>963</v>
      </c>
      <c r="AK65" t="s">
        <v>963</v>
      </c>
      <c r="AL65" t="s">
        <v>215</v>
      </c>
      <c r="AM65" t="s">
        <v>1219</v>
      </c>
      <c r="AN65" t="s">
        <v>1879</v>
      </c>
      <c r="AO65" t="s">
        <v>765</v>
      </c>
      <c r="AP65" t="s">
        <v>532</v>
      </c>
      <c r="AQ65" t="s">
        <v>1069</v>
      </c>
    </row>
    <row r="66" spans="1:43" x14ac:dyDescent="0.2">
      <c r="A66" t="s">
        <v>964</v>
      </c>
      <c r="B66" t="s">
        <v>2442</v>
      </c>
      <c r="C66" t="s">
        <v>2443</v>
      </c>
      <c r="D66" t="s">
        <v>699</v>
      </c>
      <c r="E66" t="s">
        <v>1514</v>
      </c>
      <c r="F66" t="s">
        <v>1070</v>
      </c>
      <c r="G66" t="s">
        <v>1354</v>
      </c>
      <c r="H66" t="s">
        <v>1598</v>
      </c>
      <c r="I66" t="s">
        <v>1598</v>
      </c>
      <c r="J66" t="s">
        <v>732</v>
      </c>
      <c r="K66" t="s">
        <v>1837</v>
      </c>
      <c r="L66" t="s">
        <v>1042</v>
      </c>
      <c r="M66" t="s">
        <v>1105</v>
      </c>
      <c r="N66" t="s">
        <v>1028</v>
      </c>
      <c r="O66" t="s">
        <v>2444</v>
      </c>
      <c r="P66" t="s">
        <v>1042</v>
      </c>
      <c r="Q66" t="s">
        <v>1411</v>
      </c>
      <c r="R66" t="s">
        <v>327</v>
      </c>
      <c r="S66" t="s">
        <v>1787</v>
      </c>
      <c r="T66" t="s">
        <v>1319</v>
      </c>
      <c r="U66" t="s">
        <v>2445</v>
      </c>
      <c r="V66" t="s">
        <v>1462</v>
      </c>
      <c r="W66" t="s">
        <v>1930</v>
      </c>
      <c r="X66" t="s">
        <v>342</v>
      </c>
      <c r="Y66" t="s">
        <v>1632</v>
      </c>
      <c r="Z66" t="s">
        <v>632</v>
      </c>
      <c r="AA66" t="s">
        <v>1958</v>
      </c>
      <c r="AB66" t="s">
        <v>2446</v>
      </c>
      <c r="AC66" t="s">
        <v>168</v>
      </c>
      <c r="AD66" t="s">
        <v>1664</v>
      </c>
      <c r="AE66" t="s">
        <v>1958</v>
      </c>
      <c r="AF66" t="s">
        <v>1070</v>
      </c>
      <c r="AG66" t="s">
        <v>1632</v>
      </c>
      <c r="AH66" t="s">
        <v>2447</v>
      </c>
      <c r="AI66" t="s">
        <v>26</v>
      </c>
      <c r="AJ66" t="s">
        <v>1012</v>
      </c>
      <c r="AK66" t="s">
        <v>1042</v>
      </c>
      <c r="AL66" t="s">
        <v>216</v>
      </c>
      <c r="AM66" t="s">
        <v>1220</v>
      </c>
      <c r="AN66" t="s">
        <v>2448</v>
      </c>
      <c r="AO66" t="s">
        <v>766</v>
      </c>
      <c r="AP66" t="s">
        <v>2449</v>
      </c>
      <c r="AQ66" t="s">
        <v>1070</v>
      </c>
    </row>
    <row r="67" spans="1:43" x14ac:dyDescent="0.2">
      <c r="A67" t="s">
        <v>835</v>
      </c>
      <c r="B67" t="s">
        <v>2450</v>
      </c>
      <c r="C67" t="s">
        <v>1266</v>
      </c>
      <c r="D67" t="s">
        <v>700</v>
      </c>
      <c r="E67" t="s">
        <v>1515</v>
      </c>
      <c r="F67" t="s">
        <v>1071</v>
      </c>
      <c r="G67" t="s">
        <v>1355</v>
      </c>
      <c r="H67" t="s">
        <v>1599</v>
      </c>
      <c r="I67" t="s">
        <v>1599</v>
      </c>
      <c r="J67" t="s">
        <v>2451</v>
      </c>
      <c r="K67" t="s">
        <v>1838</v>
      </c>
      <c r="L67" t="s">
        <v>1043</v>
      </c>
      <c r="M67" t="s">
        <v>1106</v>
      </c>
      <c r="N67" t="s">
        <v>1029</v>
      </c>
      <c r="O67" t="s">
        <v>835</v>
      </c>
      <c r="P67" t="s">
        <v>1043</v>
      </c>
      <c r="Q67" t="s">
        <v>1412</v>
      </c>
      <c r="R67" t="s">
        <v>2452</v>
      </c>
      <c r="S67" t="s">
        <v>1788</v>
      </c>
      <c r="T67" t="s">
        <v>1320</v>
      </c>
      <c r="U67" t="s">
        <v>595</v>
      </c>
      <c r="V67" t="s">
        <v>1463</v>
      </c>
      <c r="W67" t="s">
        <v>1931</v>
      </c>
      <c r="X67" t="s">
        <v>343</v>
      </c>
      <c r="Y67" t="s">
        <v>1633</v>
      </c>
      <c r="Z67" t="s">
        <v>2453</v>
      </c>
      <c r="AA67" t="s">
        <v>276</v>
      </c>
      <c r="AB67" t="s">
        <v>2454</v>
      </c>
      <c r="AC67" t="s">
        <v>169</v>
      </c>
      <c r="AD67" t="s">
        <v>1665</v>
      </c>
      <c r="AE67" t="s">
        <v>2455</v>
      </c>
      <c r="AF67" t="s">
        <v>1071</v>
      </c>
      <c r="AG67" t="s">
        <v>2456</v>
      </c>
      <c r="AH67" t="s">
        <v>2457</v>
      </c>
      <c r="AI67" t="s">
        <v>435</v>
      </c>
      <c r="AJ67" t="s">
        <v>1013</v>
      </c>
      <c r="AK67" t="s">
        <v>1043</v>
      </c>
      <c r="AL67" t="s">
        <v>2458</v>
      </c>
      <c r="AM67" t="s">
        <v>1221</v>
      </c>
      <c r="AN67" t="s">
        <v>2459</v>
      </c>
      <c r="AO67" t="s">
        <v>767</v>
      </c>
      <c r="AP67" t="s">
        <v>2460</v>
      </c>
      <c r="AQ67" t="s">
        <v>1071</v>
      </c>
    </row>
    <row r="68" spans="1:43" x14ac:dyDescent="0.2">
      <c r="A68" t="s">
        <v>965</v>
      </c>
      <c r="B68" t="s">
        <v>965</v>
      </c>
      <c r="C68" t="s">
        <v>1174</v>
      </c>
      <c r="D68" t="s">
        <v>701</v>
      </c>
      <c r="E68" t="s">
        <v>965</v>
      </c>
      <c r="F68" t="s">
        <v>1566</v>
      </c>
      <c r="G68" t="s">
        <v>1356</v>
      </c>
      <c r="H68" t="s">
        <v>1600</v>
      </c>
      <c r="I68" t="s">
        <v>1600</v>
      </c>
      <c r="J68" t="s">
        <v>965</v>
      </c>
      <c r="K68" t="s">
        <v>965</v>
      </c>
      <c r="L68" t="s">
        <v>965</v>
      </c>
      <c r="M68" t="s">
        <v>965</v>
      </c>
      <c r="N68" t="s">
        <v>965</v>
      </c>
      <c r="O68" t="s">
        <v>2461</v>
      </c>
      <c r="P68" t="s">
        <v>965</v>
      </c>
      <c r="Q68" t="s">
        <v>1413</v>
      </c>
      <c r="R68" t="s">
        <v>328</v>
      </c>
      <c r="S68" t="s">
        <v>965</v>
      </c>
      <c r="T68" t="s">
        <v>965</v>
      </c>
      <c r="U68" t="s">
        <v>965</v>
      </c>
      <c r="V68" t="s">
        <v>965</v>
      </c>
      <c r="W68" t="s">
        <v>1932</v>
      </c>
      <c r="X68" t="s">
        <v>2462</v>
      </c>
      <c r="Y68" t="s">
        <v>1566</v>
      </c>
      <c r="Z68" t="s">
        <v>2463</v>
      </c>
      <c r="AA68" t="s">
        <v>965</v>
      </c>
      <c r="AB68" t="s">
        <v>1174</v>
      </c>
      <c r="AC68" t="s">
        <v>965</v>
      </c>
      <c r="AD68" t="s">
        <v>965</v>
      </c>
      <c r="AE68" t="s">
        <v>965</v>
      </c>
      <c r="AF68" t="s">
        <v>1072</v>
      </c>
      <c r="AG68" t="s">
        <v>1566</v>
      </c>
      <c r="AH68" t="s">
        <v>2464</v>
      </c>
      <c r="AI68" t="s">
        <v>965</v>
      </c>
      <c r="AJ68" t="s">
        <v>965</v>
      </c>
      <c r="AK68" t="s">
        <v>965</v>
      </c>
      <c r="AL68" t="s">
        <v>217</v>
      </c>
      <c r="AM68" t="s">
        <v>965</v>
      </c>
      <c r="AN68" t="s">
        <v>965</v>
      </c>
      <c r="AO68" t="s">
        <v>1072</v>
      </c>
      <c r="AP68" t="s">
        <v>2465</v>
      </c>
      <c r="AQ68" t="s">
        <v>1072</v>
      </c>
    </row>
    <row r="69" spans="1:43" x14ac:dyDescent="0.2">
      <c r="A69" t="s">
        <v>966</v>
      </c>
      <c r="B69" t="s">
        <v>633</v>
      </c>
      <c r="C69" t="s">
        <v>411</v>
      </c>
      <c r="D69" t="s">
        <v>702</v>
      </c>
      <c r="E69" t="s">
        <v>1516</v>
      </c>
      <c r="F69" t="s">
        <v>1073</v>
      </c>
      <c r="G69" t="s">
        <v>1357</v>
      </c>
      <c r="H69" t="s">
        <v>1601</v>
      </c>
      <c r="I69" t="s">
        <v>1601</v>
      </c>
      <c r="J69" t="s">
        <v>1839</v>
      </c>
      <c r="K69" t="s">
        <v>1839</v>
      </c>
      <c r="L69" t="s">
        <v>966</v>
      </c>
      <c r="M69" t="s">
        <v>1027</v>
      </c>
      <c r="N69" t="s">
        <v>1027</v>
      </c>
      <c r="O69" t="s">
        <v>1731</v>
      </c>
      <c r="P69" t="s">
        <v>966</v>
      </c>
      <c r="Q69" t="s">
        <v>1414</v>
      </c>
      <c r="R69" t="s">
        <v>329</v>
      </c>
      <c r="S69" t="s">
        <v>966</v>
      </c>
      <c r="T69" t="s">
        <v>1027</v>
      </c>
      <c r="U69" t="s">
        <v>966</v>
      </c>
      <c r="V69" t="s">
        <v>1464</v>
      </c>
      <c r="W69" t="s">
        <v>1933</v>
      </c>
      <c r="X69" t="s">
        <v>344</v>
      </c>
      <c r="Y69" t="s">
        <v>1634</v>
      </c>
      <c r="Z69" t="s">
        <v>469</v>
      </c>
      <c r="AA69" t="s">
        <v>966</v>
      </c>
      <c r="AB69" t="s">
        <v>1175</v>
      </c>
      <c r="AC69" t="s">
        <v>966</v>
      </c>
      <c r="AD69" t="s">
        <v>966</v>
      </c>
      <c r="AE69" t="s">
        <v>966</v>
      </c>
      <c r="AF69" t="s">
        <v>1073</v>
      </c>
      <c r="AG69" t="s">
        <v>1839</v>
      </c>
      <c r="AH69" t="s">
        <v>1839</v>
      </c>
      <c r="AI69" t="s">
        <v>1839</v>
      </c>
      <c r="AJ69" t="s">
        <v>966</v>
      </c>
      <c r="AK69" t="s">
        <v>966</v>
      </c>
      <c r="AL69" t="s">
        <v>218</v>
      </c>
      <c r="AM69" t="s">
        <v>1222</v>
      </c>
      <c r="AN69" t="s">
        <v>1880</v>
      </c>
      <c r="AO69" t="s">
        <v>768</v>
      </c>
      <c r="AP69" t="s">
        <v>533</v>
      </c>
      <c r="AQ69" t="s">
        <v>1073</v>
      </c>
    </row>
    <row r="70" spans="1:43" x14ac:dyDescent="0.2">
      <c r="A70" t="s">
        <v>982</v>
      </c>
      <c r="B70" t="s">
        <v>982</v>
      </c>
      <c r="C70" t="s">
        <v>982</v>
      </c>
      <c r="D70" t="s">
        <v>982</v>
      </c>
      <c r="E70" t="s">
        <v>982</v>
      </c>
      <c r="F70" t="s">
        <v>982</v>
      </c>
      <c r="G70" t="s">
        <v>982</v>
      </c>
      <c r="H70" t="s">
        <v>982</v>
      </c>
      <c r="I70" t="s">
        <v>982</v>
      </c>
      <c r="J70" t="s">
        <v>982</v>
      </c>
      <c r="K70" t="s">
        <v>982</v>
      </c>
      <c r="L70" t="s">
        <v>982</v>
      </c>
      <c r="M70" t="s">
        <v>1107</v>
      </c>
      <c r="N70" t="s">
        <v>982</v>
      </c>
      <c r="O70" t="s">
        <v>982</v>
      </c>
      <c r="P70" t="s">
        <v>982</v>
      </c>
      <c r="Q70" t="s">
        <v>982</v>
      </c>
      <c r="R70" t="s">
        <v>982</v>
      </c>
      <c r="S70" t="s">
        <v>982</v>
      </c>
      <c r="T70" t="s">
        <v>982</v>
      </c>
      <c r="U70" t="s">
        <v>982</v>
      </c>
      <c r="V70" t="s">
        <v>982</v>
      </c>
      <c r="W70" t="s">
        <v>2481</v>
      </c>
      <c r="X70" t="s">
        <v>982</v>
      </c>
      <c r="Y70" t="s">
        <v>982</v>
      </c>
      <c r="Z70" t="s">
        <v>982</v>
      </c>
      <c r="AA70" t="s">
        <v>982</v>
      </c>
      <c r="AB70" t="s">
        <v>1269</v>
      </c>
      <c r="AC70" t="s">
        <v>982</v>
      </c>
      <c r="AD70" t="s">
        <v>982</v>
      </c>
      <c r="AE70" t="s">
        <v>982</v>
      </c>
      <c r="AF70" t="s">
        <v>982</v>
      </c>
      <c r="AG70" t="s">
        <v>982</v>
      </c>
      <c r="AH70" t="s">
        <v>982</v>
      </c>
      <c r="AI70" t="s">
        <v>982</v>
      </c>
      <c r="AJ70" t="s">
        <v>982</v>
      </c>
      <c r="AK70" t="s">
        <v>982</v>
      </c>
      <c r="AL70" t="s">
        <v>219</v>
      </c>
      <c r="AM70" t="s">
        <v>1107</v>
      </c>
      <c r="AN70" t="s">
        <v>982</v>
      </c>
      <c r="AO70" t="s">
        <v>982</v>
      </c>
      <c r="AP70" t="s">
        <v>534</v>
      </c>
      <c r="AQ70" t="s">
        <v>982</v>
      </c>
    </row>
    <row r="71" spans="1:43" x14ac:dyDescent="0.2">
      <c r="A71" t="s">
        <v>983</v>
      </c>
      <c r="B71" t="s">
        <v>983</v>
      </c>
      <c r="C71" t="s">
        <v>983</v>
      </c>
      <c r="D71" t="s">
        <v>983</v>
      </c>
      <c r="E71" t="s">
        <v>983</v>
      </c>
      <c r="F71" t="s">
        <v>983</v>
      </c>
      <c r="G71" t="s">
        <v>983</v>
      </c>
      <c r="H71" t="s">
        <v>983</v>
      </c>
      <c r="I71" t="s">
        <v>983</v>
      </c>
      <c r="J71" t="s">
        <v>983</v>
      </c>
      <c r="K71" t="s">
        <v>983</v>
      </c>
      <c r="L71" t="s">
        <v>983</v>
      </c>
      <c r="M71" t="s">
        <v>1108</v>
      </c>
      <c r="N71" t="s">
        <v>983</v>
      </c>
      <c r="O71" t="s">
        <v>983</v>
      </c>
      <c r="P71" t="s">
        <v>983</v>
      </c>
      <c r="Q71" t="s">
        <v>983</v>
      </c>
      <c r="R71" t="s">
        <v>983</v>
      </c>
      <c r="S71" t="s">
        <v>983</v>
      </c>
      <c r="T71" t="s">
        <v>983</v>
      </c>
      <c r="U71" t="s">
        <v>983</v>
      </c>
      <c r="V71" t="s">
        <v>983</v>
      </c>
      <c r="W71" t="s">
        <v>2482</v>
      </c>
      <c r="X71" t="s">
        <v>983</v>
      </c>
      <c r="Y71" t="s">
        <v>983</v>
      </c>
      <c r="Z71" t="s">
        <v>983</v>
      </c>
      <c r="AA71" t="s">
        <v>983</v>
      </c>
      <c r="AB71" t="s">
        <v>1270</v>
      </c>
      <c r="AC71" t="s">
        <v>983</v>
      </c>
      <c r="AD71" t="s">
        <v>983</v>
      </c>
      <c r="AE71" t="s">
        <v>983</v>
      </c>
      <c r="AF71" t="s">
        <v>983</v>
      </c>
      <c r="AG71" t="s">
        <v>983</v>
      </c>
      <c r="AH71" t="s">
        <v>983</v>
      </c>
      <c r="AI71" t="s">
        <v>983</v>
      </c>
      <c r="AJ71" t="s">
        <v>983</v>
      </c>
      <c r="AK71" t="s">
        <v>983</v>
      </c>
      <c r="AL71" t="s">
        <v>220</v>
      </c>
      <c r="AM71" t="s">
        <v>1108</v>
      </c>
      <c r="AN71" t="s">
        <v>983</v>
      </c>
      <c r="AO71" t="s">
        <v>983</v>
      </c>
      <c r="AP71" t="s">
        <v>535</v>
      </c>
      <c r="AQ71" t="s">
        <v>983</v>
      </c>
    </row>
    <row r="72" spans="1:43" x14ac:dyDescent="0.2">
      <c r="A72" t="s">
        <v>984</v>
      </c>
      <c r="B72" t="s">
        <v>984</v>
      </c>
      <c r="C72" t="s">
        <v>984</v>
      </c>
      <c r="D72" t="s">
        <v>984</v>
      </c>
      <c r="E72" t="s">
        <v>984</v>
      </c>
      <c r="F72" t="s">
        <v>984</v>
      </c>
      <c r="G72" t="s">
        <v>984</v>
      </c>
      <c r="H72" t="s">
        <v>984</v>
      </c>
      <c r="I72" t="s">
        <v>984</v>
      </c>
      <c r="J72" t="s">
        <v>984</v>
      </c>
      <c r="K72" t="s">
        <v>984</v>
      </c>
      <c r="L72" t="s">
        <v>984</v>
      </c>
      <c r="M72" t="s">
        <v>1109</v>
      </c>
      <c r="N72" t="s">
        <v>984</v>
      </c>
      <c r="O72" t="s">
        <v>984</v>
      </c>
      <c r="P72" t="s">
        <v>984</v>
      </c>
      <c r="Q72" t="s">
        <v>984</v>
      </c>
      <c r="R72" t="s">
        <v>984</v>
      </c>
      <c r="S72" t="s">
        <v>984</v>
      </c>
      <c r="T72" t="s">
        <v>984</v>
      </c>
      <c r="U72" t="s">
        <v>984</v>
      </c>
      <c r="V72" t="s">
        <v>984</v>
      </c>
      <c r="W72" t="s">
        <v>2483</v>
      </c>
      <c r="X72" t="s">
        <v>984</v>
      </c>
      <c r="Y72" t="s">
        <v>984</v>
      </c>
      <c r="Z72" t="s">
        <v>984</v>
      </c>
      <c r="AA72" t="s">
        <v>984</v>
      </c>
      <c r="AB72" t="s">
        <v>1271</v>
      </c>
      <c r="AC72" t="s">
        <v>984</v>
      </c>
      <c r="AD72" t="s">
        <v>984</v>
      </c>
      <c r="AE72" t="s">
        <v>984</v>
      </c>
      <c r="AF72" t="s">
        <v>984</v>
      </c>
      <c r="AG72" t="s">
        <v>984</v>
      </c>
      <c r="AH72" t="s">
        <v>984</v>
      </c>
      <c r="AI72" t="s">
        <v>984</v>
      </c>
      <c r="AJ72" t="s">
        <v>984</v>
      </c>
      <c r="AK72" t="s">
        <v>984</v>
      </c>
      <c r="AL72" t="s">
        <v>221</v>
      </c>
      <c r="AM72" t="s">
        <v>1109</v>
      </c>
      <c r="AN72" t="s">
        <v>984</v>
      </c>
      <c r="AO72" t="s">
        <v>984</v>
      </c>
      <c r="AP72" t="s">
        <v>536</v>
      </c>
      <c r="AQ72" t="s">
        <v>984</v>
      </c>
    </row>
    <row r="73" spans="1:43" x14ac:dyDescent="0.2">
      <c r="A73" t="s">
        <v>985</v>
      </c>
      <c r="B73" t="s">
        <v>985</v>
      </c>
      <c r="C73" t="s">
        <v>985</v>
      </c>
      <c r="D73" t="s">
        <v>985</v>
      </c>
      <c r="E73" t="s">
        <v>985</v>
      </c>
      <c r="F73" t="s">
        <v>985</v>
      </c>
      <c r="G73" t="s">
        <v>985</v>
      </c>
      <c r="H73" t="s">
        <v>985</v>
      </c>
      <c r="I73" t="s">
        <v>985</v>
      </c>
      <c r="J73" t="s">
        <v>985</v>
      </c>
      <c r="K73" t="s">
        <v>985</v>
      </c>
      <c r="L73" t="s">
        <v>985</v>
      </c>
      <c r="M73" t="s">
        <v>1110</v>
      </c>
      <c r="N73" t="s">
        <v>985</v>
      </c>
      <c r="O73" t="s">
        <v>985</v>
      </c>
      <c r="P73" t="s">
        <v>985</v>
      </c>
      <c r="Q73" t="s">
        <v>985</v>
      </c>
      <c r="R73" t="s">
        <v>985</v>
      </c>
      <c r="S73" t="s">
        <v>985</v>
      </c>
      <c r="T73" t="s">
        <v>985</v>
      </c>
      <c r="U73" t="s">
        <v>985</v>
      </c>
      <c r="V73" t="s">
        <v>985</v>
      </c>
      <c r="W73" t="s">
        <v>2484</v>
      </c>
      <c r="X73" t="s">
        <v>985</v>
      </c>
      <c r="Y73" t="s">
        <v>985</v>
      </c>
      <c r="Z73" t="s">
        <v>985</v>
      </c>
      <c r="AA73" t="s">
        <v>985</v>
      </c>
      <c r="AB73" t="s">
        <v>1272</v>
      </c>
      <c r="AC73" t="s">
        <v>985</v>
      </c>
      <c r="AD73" t="s">
        <v>985</v>
      </c>
      <c r="AE73" t="s">
        <v>985</v>
      </c>
      <c r="AF73" t="s">
        <v>985</v>
      </c>
      <c r="AG73" t="s">
        <v>985</v>
      </c>
      <c r="AH73" t="s">
        <v>985</v>
      </c>
      <c r="AI73" t="s">
        <v>985</v>
      </c>
      <c r="AJ73" t="s">
        <v>985</v>
      </c>
      <c r="AK73" t="s">
        <v>985</v>
      </c>
      <c r="AL73" t="s">
        <v>222</v>
      </c>
      <c r="AM73" t="s">
        <v>1110</v>
      </c>
      <c r="AN73" t="s">
        <v>985</v>
      </c>
      <c r="AO73" t="s">
        <v>985</v>
      </c>
      <c r="AP73" t="s">
        <v>537</v>
      </c>
      <c r="AQ73" t="s">
        <v>985</v>
      </c>
    </row>
    <row r="74" spans="1:43" x14ac:dyDescent="0.2">
      <c r="A74" t="s">
        <v>986</v>
      </c>
      <c r="B74" t="s">
        <v>986</v>
      </c>
      <c r="C74" t="s">
        <v>986</v>
      </c>
      <c r="D74" t="s">
        <v>986</v>
      </c>
      <c r="E74" t="s">
        <v>986</v>
      </c>
      <c r="F74" t="s">
        <v>986</v>
      </c>
      <c r="G74" t="s">
        <v>986</v>
      </c>
      <c r="H74" t="s">
        <v>986</v>
      </c>
      <c r="I74" t="s">
        <v>986</v>
      </c>
      <c r="J74" t="s">
        <v>986</v>
      </c>
      <c r="K74" t="s">
        <v>986</v>
      </c>
      <c r="L74" t="s">
        <v>986</v>
      </c>
      <c r="M74" t="s">
        <v>1111</v>
      </c>
      <c r="N74" t="s">
        <v>986</v>
      </c>
      <c r="O74" t="s">
        <v>986</v>
      </c>
      <c r="P74" t="s">
        <v>986</v>
      </c>
      <c r="Q74" t="s">
        <v>1415</v>
      </c>
      <c r="R74" t="s">
        <v>986</v>
      </c>
      <c r="S74" t="s">
        <v>986</v>
      </c>
      <c r="T74" t="s">
        <v>986</v>
      </c>
      <c r="U74" t="s">
        <v>986</v>
      </c>
      <c r="V74" t="s">
        <v>986</v>
      </c>
      <c r="W74" t="s">
        <v>2485</v>
      </c>
      <c r="X74" t="s">
        <v>986</v>
      </c>
      <c r="Y74" t="s">
        <v>986</v>
      </c>
      <c r="Z74" t="s">
        <v>470</v>
      </c>
      <c r="AA74" t="s">
        <v>986</v>
      </c>
      <c r="AB74" t="s">
        <v>1273</v>
      </c>
      <c r="AC74" t="s">
        <v>986</v>
      </c>
      <c r="AD74" t="s">
        <v>986</v>
      </c>
      <c r="AE74" t="s">
        <v>986</v>
      </c>
      <c r="AF74" t="s">
        <v>986</v>
      </c>
      <c r="AG74" t="s">
        <v>986</v>
      </c>
      <c r="AH74" t="s">
        <v>986</v>
      </c>
      <c r="AI74" t="s">
        <v>986</v>
      </c>
      <c r="AJ74" t="s">
        <v>986</v>
      </c>
      <c r="AK74" t="s">
        <v>986</v>
      </c>
      <c r="AL74" t="s">
        <v>223</v>
      </c>
      <c r="AM74" t="s">
        <v>1111</v>
      </c>
      <c r="AN74" t="s">
        <v>986</v>
      </c>
      <c r="AO74" t="s">
        <v>986</v>
      </c>
      <c r="AP74" t="s">
        <v>538</v>
      </c>
      <c r="AQ74" t="s">
        <v>986</v>
      </c>
    </row>
    <row r="75" spans="1:43" x14ac:dyDescent="0.2">
      <c r="A75" t="s">
        <v>987</v>
      </c>
      <c r="B75" t="s">
        <v>987</v>
      </c>
      <c r="C75" t="s">
        <v>987</v>
      </c>
      <c r="D75" t="s">
        <v>987</v>
      </c>
      <c r="E75" t="s">
        <v>987</v>
      </c>
      <c r="F75" t="s">
        <v>987</v>
      </c>
      <c r="G75" t="s">
        <v>987</v>
      </c>
      <c r="H75" t="s">
        <v>987</v>
      </c>
      <c r="I75" t="s">
        <v>987</v>
      </c>
      <c r="J75" t="s">
        <v>987</v>
      </c>
      <c r="K75" t="s">
        <v>987</v>
      </c>
      <c r="L75" t="s">
        <v>987</v>
      </c>
      <c r="M75" t="s">
        <v>1112</v>
      </c>
      <c r="N75" t="s">
        <v>987</v>
      </c>
      <c r="O75" t="s">
        <v>987</v>
      </c>
      <c r="P75" t="s">
        <v>987</v>
      </c>
      <c r="Q75" t="s">
        <v>1416</v>
      </c>
      <c r="R75" t="s">
        <v>987</v>
      </c>
      <c r="S75" t="s">
        <v>987</v>
      </c>
      <c r="T75" t="s">
        <v>987</v>
      </c>
      <c r="U75" t="s">
        <v>987</v>
      </c>
      <c r="V75" t="s">
        <v>987</v>
      </c>
      <c r="W75" t="s">
        <v>2486</v>
      </c>
      <c r="X75" t="s">
        <v>987</v>
      </c>
      <c r="Y75" t="s">
        <v>987</v>
      </c>
      <c r="Z75" t="s">
        <v>471</v>
      </c>
      <c r="AA75" t="s">
        <v>987</v>
      </c>
      <c r="AB75" t="s">
        <v>1274</v>
      </c>
      <c r="AC75" t="s">
        <v>987</v>
      </c>
      <c r="AD75" t="s">
        <v>987</v>
      </c>
      <c r="AE75" t="s">
        <v>987</v>
      </c>
      <c r="AF75" t="s">
        <v>987</v>
      </c>
      <c r="AG75" t="s">
        <v>987</v>
      </c>
      <c r="AH75" t="s">
        <v>987</v>
      </c>
      <c r="AI75" t="s">
        <v>987</v>
      </c>
      <c r="AJ75" t="s">
        <v>987</v>
      </c>
      <c r="AK75" t="s">
        <v>987</v>
      </c>
      <c r="AL75" t="s">
        <v>224</v>
      </c>
      <c r="AM75" t="s">
        <v>1112</v>
      </c>
      <c r="AN75" t="s">
        <v>987</v>
      </c>
      <c r="AO75" t="s">
        <v>987</v>
      </c>
      <c r="AP75" t="s">
        <v>539</v>
      </c>
      <c r="AQ75" t="s">
        <v>987</v>
      </c>
    </row>
    <row r="76" spans="1:43" x14ac:dyDescent="0.2">
      <c r="A76" t="s">
        <v>988</v>
      </c>
      <c r="B76" t="s">
        <v>988</v>
      </c>
      <c r="C76" t="s">
        <v>988</v>
      </c>
      <c r="D76" t="s">
        <v>988</v>
      </c>
      <c r="E76" t="s">
        <v>988</v>
      </c>
      <c r="F76" t="s">
        <v>988</v>
      </c>
      <c r="G76" t="s">
        <v>988</v>
      </c>
      <c r="H76" t="s">
        <v>988</v>
      </c>
      <c r="I76" t="s">
        <v>988</v>
      </c>
      <c r="J76" t="s">
        <v>988</v>
      </c>
      <c r="K76" t="s">
        <v>988</v>
      </c>
      <c r="L76" t="s">
        <v>988</v>
      </c>
      <c r="M76" t="s">
        <v>1113</v>
      </c>
      <c r="N76" t="s">
        <v>988</v>
      </c>
      <c r="O76" t="s">
        <v>988</v>
      </c>
      <c r="P76" t="s">
        <v>988</v>
      </c>
      <c r="Q76" t="s">
        <v>1417</v>
      </c>
      <c r="R76" t="s">
        <v>988</v>
      </c>
      <c r="S76" t="s">
        <v>988</v>
      </c>
      <c r="T76" t="s">
        <v>988</v>
      </c>
      <c r="U76" t="s">
        <v>988</v>
      </c>
      <c r="V76" t="s">
        <v>988</v>
      </c>
      <c r="W76" t="s">
        <v>2487</v>
      </c>
      <c r="X76" t="s">
        <v>988</v>
      </c>
      <c r="Y76" t="s">
        <v>988</v>
      </c>
      <c r="Z76" t="s">
        <v>988</v>
      </c>
      <c r="AA76" t="s">
        <v>988</v>
      </c>
      <c r="AB76" t="s">
        <v>1275</v>
      </c>
      <c r="AC76" t="s">
        <v>988</v>
      </c>
      <c r="AD76" t="s">
        <v>988</v>
      </c>
      <c r="AE76" t="s">
        <v>988</v>
      </c>
      <c r="AF76" t="s">
        <v>988</v>
      </c>
      <c r="AG76" t="s">
        <v>988</v>
      </c>
      <c r="AH76" t="s">
        <v>988</v>
      </c>
      <c r="AI76" t="s">
        <v>988</v>
      </c>
      <c r="AJ76" t="s">
        <v>988</v>
      </c>
      <c r="AK76" t="s">
        <v>988</v>
      </c>
      <c r="AL76" t="s">
        <v>225</v>
      </c>
      <c r="AM76" t="s">
        <v>1113</v>
      </c>
      <c r="AN76" t="s">
        <v>988</v>
      </c>
      <c r="AO76" t="s">
        <v>988</v>
      </c>
      <c r="AP76" t="s">
        <v>540</v>
      </c>
      <c r="AQ76" t="s">
        <v>988</v>
      </c>
    </row>
    <row r="77" spans="1:43" x14ac:dyDescent="0.2">
      <c r="A77" t="s">
        <v>989</v>
      </c>
      <c r="B77" t="s">
        <v>989</v>
      </c>
      <c r="C77" t="s">
        <v>989</v>
      </c>
      <c r="D77" t="s">
        <v>989</v>
      </c>
      <c r="E77" t="s">
        <v>989</v>
      </c>
      <c r="F77" t="s">
        <v>989</v>
      </c>
      <c r="G77" t="s">
        <v>989</v>
      </c>
      <c r="H77" t="s">
        <v>989</v>
      </c>
      <c r="I77" t="s">
        <v>989</v>
      </c>
      <c r="J77" t="s">
        <v>989</v>
      </c>
      <c r="K77" t="s">
        <v>989</v>
      </c>
      <c r="L77" t="s">
        <v>989</v>
      </c>
      <c r="M77" t="s">
        <v>1114</v>
      </c>
      <c r="N77" t="s">
        <v>989</v>
      </c>
      <c r="O77" t="s">
        <v>989</v>
      </c>
      <c r="P77" t="s">
        <v>989</v>
      </c>
      <c r="Q77" t="s">
        <v>1418</v>
      </c>
      <c r="R77" t="s">
        <v>989</v>
      </c>
      <c r="S77" t="s">
        <v>989</v>
      </c>
      <c r="T77" t="s">
        <v>989</v>
      </c>
      <c r="U77" t="s">
        <v>989</v>
      </c>
      <c r="V77" t="s">
        <v>989</v>
      </c>
      <c r="W77" t="s">
        <v>2488</v>
      </c>
      <c r="X77" t="s">
        <v>989</v>
      </c>
      <c r="Y77" t="s">
        <v>989</v>
      </c>
      <c r="Z77" t="s">
        <v>989</v>
      </c>
      <c r="AA77" t="s">
        <v>989</v>
      </c>
      <c r="AB77" t="s">
        <v>1276</v>
      </c>
      <c r="AC77" t="s">
        <v>989</v>
      </c>
      <c r="AD77" t="s">
        <v>989</v>
      </c>
      <c r="AE77" t="s">
        <v>989</v>
      </c>
      <c r="AF77" t="s">
        <v>989</v>
      </c>
      <c r="AG77" t="s">
        <v>989</v>
      </c>
      <c r="AH77" t="s">
        <v>989</v>
      </c>
      <c r="AI77" t="s">
        <v>989</v>
      </c>
      <c r="AJ77" t="s">
        <v>989</v>
      </c>
      <c r="AK77" t="s">
        <v>989</v>
      </c>
      <c r="AL77" t="s">
        <v>226</v>
      </c>
      <c r="AM77" t="s">
        <v>1114</v>
      </c>
      <c r="AN77" t="s">
        <v>989</v>
      </c>
      <c r="AO77" t="s">
        <v>989</v>
      </c>
      <c r="AP77" t="s">
        <v>541</v>
      </c>
      <c r="AQ77" t="s">
        <v>989</v>
      </c>
    </row>
    <row r="78" spans="1:43" x14ac:dyDescent="0.2">
      <c r="A78" t="s">
        <v>990</v>
      </c>
      <c r="B78" t="s">
        <v>990</v>
      </c>
      <c r="C78" t="s">
        <v>990</v>
      </c>
      <c r="D78" t="s">
        <v>990</v>
      </c>
      <c r="E78" t="s">
        <v>990</v>
      </c>
      <c r="F78" t="s">
        <v>990</v>
      </c>
      <c r="G78" t="s">
        <v>990</v>
      </c>
      <c r="H78" t="s">
        <v>990</v>
      </c>
      <c r="I78" t="s">
        <v>990</v>
      </c>
      <c r="J78" t="s">
        <v>990</v>
      </c>
      <c r="K78" t="s">
        <v>990</v>
      </c>
      <c r="L78" t="s">
        <v>990</v>
      </c>
      <c r="M78" t="s">
        <v>1115</v>
      </c>
      <c r="N78" t="s">
        <v>990</v>
      </c>
      <c r="O78" t="s">
        <v>990</v>
      </c>
      <c r="P78" t="s">
        <v>990</v>
      </c>
      <c r="Q78" t="s">
        <v>1419</v>
      </c>
      <c r="R78" t="s">
        <v>990</v>
      </c>
      <c r="S78" t="s">
        <v>990</v>
      </c>
      <c r="T78" t="s">
        <v>990</v>
      </c>
      <c r="U78" t="s">
        <v>990</v>
      </c>
      <c r="V78" t="s">
        <v>990</v>
      </c>
      <c r="W78" t="s">
        <v>2489</v>
      </c>
      <c r="X78" t="s">
        <v>990</v>
      </c>
      <c r="Y78" t="s">
        <v>990</v>
      </c>
      <c r="Z78" t="s">
        <v>990</v>
      </c>
      <c r="AA78" t="s">
        <v>990</v>
      </c>
      <c r="AB78" t="s">
        <v>1277</v>
      </c>
      <c r="AC78" t="s">
        <v>990</v>
      </c>
      <c r="AD78" t="s">
        <v>990</v>
      </c>
      <c r="AE78" t="s">
        <v>990</v>
      </c>
      <c r="AF78" t="s">
        <v>990</v>
      </c>
      <c r="AG78" t="s">
        <v>990</v>
      </c>
      <c r="AH78" t="s">
        <v>990</v>
      </c>
      <c r="AI78" t="s">
        <v>990</v>
      </c>
      <c r="AJ78" t="s">
        <v>990</v>
      </c>
      <c r="AK78" t="s">
        <v>990</v>
      </c>
      <c r="AL78" t="s">
        <v>227</v>
      </c>
      <c r="AM78" t="s">
        <v>1115</v>
      </c>
      <c r="AN78" t="s">
        <v>990</v>
      </c>
      <c r="AO78" t="s">
        <v>990</v>
      </c>
      <c r="AP78" t="s">
        <v>542</v>
      </c>
      <c r="AQ78" t="s">
        <v>990</v>
      </c>
    </row>
    <row r="79" spans="1:43" x14ac:dyDescent="0.2">
      <c r="A79" t="s">
        <v>991</v>
      </c>
      <c r="B79" t="s">
        <v>991</v>
      </c>
      <c r="C79" t="s">
        <v>991</v>
      </c>
      <c r="D79" t="s">
        <v>991</v>
      </c>
      <c r="E79" t="s">
        <v>991</v>
      </c>
      <c r="F79" t="s">
        <v>991</v>
      </c>
      <c r="G79" t="s">
        <v>991</v>
      </c>
      <c r="H79" t="s">
        <v>991</v>
      </c>
      <c r="I79" t="s">
        <v>991</v>
      </c>
      <c r="J79" t="s">
        <v>991</v>
      </c>
      <c r="K79" t="s">
        <v>991</v>
      </c>
      <c r="L79" t="s">
        <v>991</v>
      </c>
      <c r="M79" t="s">
        <v>1116</v>
      </c>
      <c r="N79" t="s">
        <v>991</v>
      </c>
      <c r="O79" t="s">
        <v>991</v>
      </c>
      <c r="P79" t="s">
        <v>991</v>
      </c>
      <c r="Q79" t="s">
        <v>1420</v>
      </c>
      <c r="R79" t="s">
        <v>991</v>
      </c>
      <c r="S79" t="s">
        <v>991</v>
      </c>
      <c r="T79" t="s">
        <v>991</v>
      </c>
      <c r="U79" t="s">
        <v>991</v>
      </c>
      <c r="V79" t="s">
        <v>991</v>
      </c>
      <c r="W79" t="s">
        <v>2490</v>
      </c>
      <c r="X79" t="s">
        <v>991</v>
      </c>
      <c r="Y79" t="s">
        <v>991</v>
      </c>
      <c r="Z79" t="s">
        <v>991</v>
      </c>
      <c r="AA79" t="s">
        <v>991</v>
      </c>
      <c r="AB79" t="s">
        <v>1278</v>
      </c>
      <c r="AC79" t="s">
        <v>991</v>
      </c>
      <c r="AD79" t="s">
        <v>991</v>
      </c>
      <c r="AE79" t="s">
        <v>991</v>
      </c>
      <c r="AF79" t="s">
        <v>991</v>
      </c>
      <c r="AG79" t="s">
        <v>991</v>
      </c>
      <c r="AH79" t="s">
        <v>991</v>
      </c>
      <c r="AI79" t="s">
        <v>991</v>
      </c>
      <c r="AJ79" t="s">
        <v>991</v>
      </c>
      <c r="AK79" t="s">
        <v>991</v>
      </c>
      <c r="AL79" t="s">
        <v>228</v>
      </c>
      <c r="AM79" t="s">
        <v>1116</v>
      </c>
      <c r="AN79" t="s">
        <v>991</v>
      </c>
      <c r="AO79" t="s">
        <v>991</v>
      </c>
      <c r="AP79" t="s">
        <v>543</v>
      </c>
      <c r="AQ79" t="s">
        <v>991</v>
      </c>
    </row>
    <row r="80" spans="1:43" x14ac:dyDescent="0.2">
      <c r="A80" t="s">
        <v>992</v>
      </c>
      <c r="B80" t="s">
        <v>992</v>
      </c>
      <c r="C80" t="s">
        <v>992</v>
      </c>
      <c r="D80" t="s">
        <v>992</v>
      </c>
      <c r="E80" t="s">
        <v>992</v>
      </c>
      <c r="F80" t="s">
        <v>992</v>
      </c>
      <c r="G80" t="s">
        <v>992</v>
      </c>
      <c r="H80" t="s">
        <v>992</v>
      </c>
      <c r="I80" t="s">
        <v>992</v>
      </c>
      <c r="J80" t="s">
        <v>992</v>
      </c>
      <c r="K80" t="s">
        <v>992</v>
      </c>
      <c r="L80" t="s">
        <v>992</v>
      </c>
      <c r="M80" t="s">
        <v>1117</v>
      </c>
      <c r="N80" t="s">
        <v>992</v>
      </c>
      <c r="O80" t="s">
        <v>992</v>
      </c>
      <c r="P80" t="s">
        <v>992</v>
      </c>
      <c r="Q80" t="s">
        <v>1421</v>
      </c>
      <c r="R80" t="s">
        <v>992</v>
      </c>
      <c r="S80" t="s">
        <v>992</v>
      </c>
      <c r="T80" t="s">
        <v>992</v>
      </c>
      <c r="U80" t="s">
        <v>992</v>
      </c>
      <c r="V80" t="s">
        <v>992</v>
      </c>
      <c r="W80" t="s">
        <v>2491</v>
      </c>
      <c r="X80" t="s">
        <v>992</v>
      </c>
      <c r="Y80" t="s">
        <v>992</v>
      </c>
      <c r="Z80" t="s">
        <v>992</v>
      </c>
      <c r="AA80" t="s">
        <v>992</v>
      </c>
      <c r="AB80" t="s">
        <v>1279</v>
      </c>
      <c r="AC80" t="s">
        <v>992</v>
      </c>
      <c r="AD80" t="s">
        <v>992</v>
      </c>
      <c r="AE80" t="s">
        <v>992</v>
      </c>
      <c r="AF80" t="s">
        <v>992</v>
      </c>
      <c r="AG80" t="s">
        <v>992</v>
      </c>
      <c r="AH80" t="s">
        <v>992</v>
      </c>
      <c r="AI80" t="s">
        <v>992</v>
      </c>
      <c r="AJ80" t="s">
        <v>992</v>
      </c>
      <c r="AK80" t="s">
        <v>992</v>
      </c>
      <c r="AL80" t="s">
        <v>229</v>
      </c>
      <c r="AM80" t="s">
        <v>1117</v>
      </c>
      <c r="AN80" t="s">
        <v>992</v>
      </c>
      <c r="AO80" t="s">
        <v>992</v>
      </c>
      <c r="AP80" t="s">
        <v>544</v>
      </c>
      <c r="AQ80" t="s">
        <v>992</v>
      </c>
    </row>
    <row r="81" spans="1:43" x14ac:dyDescent="0.2">
      <c r="A81" t="s">
        <v>993</v>
      </c>
      <c r="B81" t="s">
        <v>993</v>
      </c>
      <c r="C81" t="s">
        <v>993</v>
      </c>
      <c r="D81" t="s">
        <v>993</v>
      </c>
      <c r="E81" t="s">
        <v>993</v>
      </c>
      <c r="F81" t="s">
        <v>993</v>
      </c>
      <c r="G81" t="s">
        <v>993</v>
      </c>
      <c r="H81" t="s">
        <v>993</v>
      </c>
      <c r="I81" t="s">
        <v>993</v>
      </c>
      <c r="J81" t="s">
        <v>993</v>
      </c>
      <c r="K81" t="s">
        <v>993</v>
      </c>
      <c r="L81" t="s">
        <v>993</v>
      </c>
      <c r="M81" t="s">
        <v>1118</v>
      </c>
      <c r="N81" t="s">
        <v>993</v>
      </c>
      <c r="O81" t="s">
        <v>993</v>
      </c>
      <c r="P81" t="s">
        <v>993</v>
      </c>
      <c r="Q81" t="s">
        <v>1422</v>
      </c>
      <c r="R81" t="s">
        <v>993</v>
      </c>
      <c r="S81" t="s">
        <v>993</v>
      </c>
      <c r="T81" t="s">
        <v>993</v>
      </c>
      <c r="U81" t="s">
        <v>993</v>
      </c>
      <c r="V81" t="s">
        <v>993</v>
      </c>
      <c r="W81" t="s">
        <v>2492</v>
      </c>
      <c r="X81" t="s">
        <v>993</v>
      </c>
      <c r="Y81" t="s">
        <v>993</v>
      </c>
      <c r="Z81" t="s">
        <v>993</v>
      </c>
      <c r="AA81" t="s">
        <v>993</v>
      </c>
      <c r="AB81" t="s">
        <v>1280</v>
      </c>
      <c r="AC81" t="s">
        <v>993</v>
      </c>
      <c r="AD81" t="s">
        <v>993</v>
      </c>
      <c r="AE81" t="s">
        <v>993</v>
      </c>
      <c r="AF81" t="s">
        <v>993</v>
      </c>
      <c r="AG81" t="s">
        <v>993</v>
      </c>
      <c r="AH81" t="s">
        <v>993</v>
      </c>
      <c r="AI81" t="s">
        <v>993</v>
      </c>
      <c r="AJ81" t="s">
        <v>993</v>
      </c>
      <c r="AK81" t="s">
        <v>993</v>
      </c>
      <c r="AL81" t="s">
        <v>230</v>
      </c>
      <c r="AM81" t="s">
        <v>1118</v>
      </c>
      <c r="AN81" t="s">
        <v>993</v>
      </c>
      <c r="AO81" t="s">
        <v>993</v>
      </c>
      <c r="AP81" t="s">
        <v>545</v>
      </c>
      <c r="AQ81" t="s">
        <v>993</v>
      </c>
    </row>
    <row r="82" spans="1:43" x14ac:dyDescent="0.2">
      <c r="A82" t="s">
        <v>994</v>
      </c>
      <c r="B82" t="s">
        <v>994</v>
      </c>
      <c r="C82" t="s">
        <v>994</v>
      </c>
      <c r="D82" t="s">
        <v>994</v>
      </c>
      <c r="E82" t="s">
        <v>994</v>
      </c>
      <c r="F82" t="s">
        <v>994</v>
      </c>
      <c r="G82" t="s">
        <v>994</v>
      </c>
      <c r="H82" t="s">
        <v>994</v>
      </c>
      <c r="I82" t="s">
        <v>994</v>
      </c>
      <c r="J82" t="s">
        <v>994</v>
      </c>
      <c r="K82" t="s">
        <v>994</v>
      </c>
      <c r="L82" t="s">
        <v>994</v>
      </c>
      <c r="M82" t="s">
        <v>1119</v>
      </c>
      <c r="N82" t="s">
        <v>994</v>
      </c>
      <c r="O82" t="s">
        <v>994</v>
      </c>
      <c r="P82" t="s">
        <v>994</v>
      </c>
      <c r="Q82" t="s">
        <v>1423</v>
      </c>
      <c r="R82" t="s">
        <v>994</v>
      </c>
      <c r="S82" t="s">
        <v>994</v>
      </c>
      <c r="T82" t="s">
        <v>994</v>
      </c>
      <c r="U82" t="s">
        <v>994</v>
      </c>
      <c r="V82" t="s">
        <v>994</v>
      </c>
      <c r="W82" t="s">
        <v>2493</v>
      </c>
      <c r="X82" t="s">
        <v>994</v>
      </c>
      <c r="Y82" t="s">
        <v>994</v>
      </c>
      <c r="Z82" t="s">
        <v>472</v>
      </c>
      <c r="AA82" t="s">
        <v>994</v>
      </c>
      <c r="AB82" t="s">
        <v>1281</v>
      </c>
      <c r="AC82" t="s">
        <v>994</v>
      </c>
      <c r="AD82" t="s">
        <v>994</v>
      </c>
      <c r="AE82" t="s">
        <v>994</v>
      </c>
      <c r="AF82" t="s">
        <v>994</v>
      </c>
      <c r="AG82" t="s">
        <v>994</v>
      </c>
      <c r="AH82" t="s">
        <v>994</v>
      </c>
      <c r="AI82" t="s">
        <v>994</v>
      </c>
      <c r="AJ82" t="s">
        <v>994</v>
      </c>
      <c r="AK82" t="s">
        <v>994</v>
      </c>
      <c r="AL82" t="s">
        <v>231</v>
      </c>
      <c r="AM82" t="s">
        <v>1119</v>
      </c>
      <c r="AN82" t="s">
        <v>994</v>
      </c>
      <c r="AO82" t="s">
        <v>994</v>
      </c>
      <c r="AP82" t="s">
        <v>546</v>
      </c>
      <c r="AQ82" t="s">
        <v>994</v>
      </c>
    </row>
    <row r="83" spans="1:43" x14ac:dyDescent="0.2">
      <c r="A83" t="s">
        <v>995</v>
      </c>
      <c r="B83" t="s">
        <v>995</v>
      </c>
      <c r="C83" t="s">
        <v>995</v>
      </c>
      <c r="D83" t="s">
        <v>995</v>
      </c>
      <c r="E83" t="s">
        <v>995</v>
      </c>
      <c r="F83" t="s">
        <v>995</v>
      </c>
      <c r="G83" t="s">
        <v>995</v>
      </c>
      <c r="H83" t="s">
        <v>995</v>
      </c>
      <c r="I83" t="s">
        <v>995</v>
      </c>
      <c r="J83" t="s">
        <v>995</v>
      </c>
      <c r="K83" t="s">
        <v>995</v>
      </c>
      <c r="L83" t="s">
        <v>995</v>
      </c>
      <c r="M83" t="s">
        <v>1120</v>
      </c>
      <c r="N83" t="s">
        <v>995</v>
      </c>
      <c r="O83" t="s">
        <v>995</v>
      </c>
      <c r="P83" t="s">
        <v>995</v>
      </c>
      <c r="Q83" t="s">
        <v>1424</v>
      </c>
      <c r="R83" t="s">
        <v>995</v>
      </c>
      <c r="S83" t="s">
        <v>995</v>
      </c>
      <c r="T83" t="s">
        <v>995</v>
      </c>
      <c r="U83" t="s">
        <v>995</v>
      </c>
      <c r="V83" t="s">
        <v>995</v>
      </c>
      <c r="W83" t="s">
        <v>2494</v>
      </c>
      <c r="X83" t="s">
        <v>995</v>
      </c>
      <c r="Y83" t="s">
        <v>995</v>
      </c>
      <c r="Z83" t="s">
        <v>473</v>
      </c>
      <c r="AA83" t="s">
        <v>995</v>
      </c>
      <c r="AB83" t="s">
        <v>1282</v>
      </c>
      <c r="AC83" t="s">
        <v>995</v>
      </c>
      <c r="AD83" t="s">
        <v>995</v>
      </c>
      <c r="AE83" t="s">
        <v>995</v>
      </c>
      <c r="AF83" t="s">
        <v>995</v>
      </c>
      <c r="AG83" t="s">
        <v>995</v>
      </c>
      <c r="AH83" t="s">
        <v>995</v>
      </c>
      <c r="AI83" t="s">
        <v>995</v>
      </c>
      <c r="AJ83" t="s">
        <v>995</v>
      </c>
      <c r="AK83" t="s">
        <v>995</v>
      </c>
      <c r="AL83" t="s">
        <v>232</v>
      </c>
      <c r="AM83" t="s">
        <v>1120</v>
      </c>
      <c r="AN83" t="s">
        <v>995</v>
      </c>
      <c r="AO83" t="s">
        <v>995</v>
      </c>
      <c r="AP83" t="s">
        <v>547</v>
      </c>
      <c r="AQ83" t="s">
        <v>995</v>
      </c>
    </row>
    <row r="84" spans="1:43" x14ac:dyDescent="0.2">
      <c r="A84" t="s">
        <v>996</v>
      </c>
      <c r="B84" t="s">
        <v>996</v>
      </c>
      <c r="C84" t="s">
        <v>996</v>
      </c>
      <c r="D84" t="s">
        <v>996</v>
      </c>
      <c r="E84" t="s">
        <v>996</v>
      </c>
      <c r="F84" t="s">
        <v>996</v>
      </c>
      <c r="G84" t="s">
        <v>996</v>
      </c>
      <c r="H84" t="s">
        <v>996</v>
      </c>
      <c r="I84" t="s">
        <v>996</v>
      </c>
      <c r="J84" t="s">
        <v>996</v>
      </c>
      <c r="K84" t="s">
        <v>996</v>
      </c>
      <c r="L84" t="s">
        <v>996</v>
      </c>
      <c r="M84" t="s">
        <v>1121</v>
      </c>
      <c r="N84" t="s">
        <v>996</v>
      </c>
      <c r="O84" t="s">
        <v>996</v>
      </c>
      <c r="P84" t="s">
        <v>996</v>
      </c>
      <c r="Q84" t="s">
        <v>996</v>
      </c>
      <c r="R84" t="s">
        <v>996</v>
      </c>
      <c r="S84" t="s">
        <v>996</v>
      </c>
      <c r="T84" t="s">
        <v>996</v>
      </c>
      <c r="U84" t="s">
        <v>996</v>
      </c>
      <c r="V84" t="s">
        <v>996</v>
      </c>
      <c r="W84" t="s">
        <v>2495</v>
      </c>
      <c r="X84" t="s">
        <v>996</v>
      </c>
      <c r="Y84" t="s">
        <v>996</v>
      </c>
      <c r="Z84" t="s">
        <v>474</v>
      </c>
      <c r="AA84" t="s">
        <v>996</v>
      </c>
      <c r="AB84" t="s">
        <v>1283</v>
      </c>
      <c r="AC84" t="s">
        <v>996</v>
      </c>
      <c r="AD84" t="s">
        <v>996</v>
      </c>
      <c r="AE84" t="s">
        <v>996</v>
      </c>
      <c r="AF84" t="s">
        <v>996</v>
      </c>
      <c r="AG84" t="s">
        <v>996</v>
      </c>
      <c r="AH84" t="s">
        <v>996</v>
      </c>
      <c r="AI84" t="s">
        <v>996</v>
      </c>
      <c r="AJ84" t="s">
        <v>996</v>
      </c>
      <c r="AK84" t="s">
        <v>996</v>
      </c>
      <c r="AL84" t="s">
        <v>233</v>
      </c>
      <c r="AM84" t="s">
        <v>1121</v>
      </c>
      <c r="AN84" t="s">
        <v>996</v>
      </c>
      <c r="AO84" t="s">
        <v>996</v>
      </c>
      <c r="AP84" t="s">
        <v>548</v>
      </c>
      <c r="AQ84" t="s">
        <v>996</v>
      </c>
    </row>
    <row r="85" spans="1:43" x14ac:dyDescent="0.2">
      <c r="A85" t="s">
        <v>997</v>
      </c>
      <c r="B85" t="s">
        <v>997</v>
      </c>
      <c r="C85" t="s">
        <v>997</v>
      </c>
      <c r="D85" t="s">
        <v>997</v>
      </c>
      <c r="E85" t="s">
        <v>997</v>
      </c>
      <c r="F85" t="s">
        <v>997</v>
      </c>
      <c r="G85" t="s">
        <v>997</v>
      </c>
      <c r="H85" t="s">
        <v>997</v>
      </c>
      <c r="I85" t="s">
        <v>997</v>
      </c>
      <c r="J85" t="s">
        <v>997</v>
      </c>
      <c r="K85" t="s">
        <v>997</v>
      </c>
      <c r="L85" t="s">
        <v>997</v>
      </c>
      <c r="M85" t="s">
        <v>1122</v>
      </c>
      <c r="N85" t="s">
        <v>997</v>
      </c>
      <c r="O85" t="s">
        <v>997</v>
      </c>
      <c r="P85" t="s">
        <v>997</v>
      </c>
      <c r="Q85" t="s">
        <v>997</v>
      </c>
      <c r="R85" t="s">
        <v>997</v>
      </c>
      <c r="S85" t="s">
        <v>997</v>
      </c>
      <c r="T85" t="s">
        <v>997</v>
      </c>
      <c r="U85" t="s">
        <v>997</v>
      </c>
      <c r="V85" t="s">
        <v>997</v>
      </c>
      <c r="W85" t="s">
        <v>2496</v>
      </c>
      <c r="X85" t="s">
        <v>997</v>
      </c>
      <c r="Y85" t="s">
        <v>997</v>
      </c>
      <c r="Z85" t="s">
        <v>474</v>
      </c>
      <c r="AA85" t="s">
        <v>997</v>
      </c>
      <c r="AB85" t="s">
        <v>1284</v>
      </c>
      <c r="AC85" t="s">
        <v>997</v>
      </c>
      <c r="AD85" t="s">
        <v>997</v>
      </c>
      <c r="AE85" t="s">
        <v>997</v>
      </c>
      <c r="AF85" t="s">
        <v>997</v>
      </c>
      <c r="AG85" t="s">
        <v>997</v>
      </c>
      <c r="AH85" t="s">
        <v>997</v>
      </c>
      <c r="AI85" t="s">
        <v>997</v>
      </c>
      <c r="AJ85" t="s">
        <v>997</v>
      </c>
      <c r="AK85" t="s">
        <v>997</v>
      </c>
      <c r="AL85" t="s">
        <v>234</v>
      </c>
      <c r="AM85" t="s">
        <v>1122</v>
      </c>
      <c r="AN85" t="s">
        <v>997</v>
      </c>
      <c r="AO85" t="s">
        <v>997</v>
      </c>
      <c r="AP85" t="s">
        <v>549</v>
      </c>
      <c r="AQ85" t="s">
        <v>997</v>
      </c>
    </row>
    <row r="86" spans="1:43" x14ac:dyDescent="0.2">
      <c r="A86" t="s">
        <v>971</v>
      </c>
      <c r="B86" t="s">
        <v>634</v>
      </c>
      <c r="C86" t="s">
        <v>971</v>
      </c>
      <c r="D86" t="s">
        <v>971</v>
      </c>
      <c r="E86" t="s">
        <v>1517</v>
      </c>
      <c r="F86" t="s">
        <v>971</v>
      </c>
      <c r="G86" t="s">
        <v>1223</v>
      </c>
      <c r="H86" t="s">
        <v>115</v>
      </c>
      <c r="I86" t="s">
        <v>971</v>
      </c>
      <c r="J86" t="s">
        <v>971</v>
      </c>
      <c r="K86" t="s">
        <v>1465</v>
      </c>
      <c r="L86" t="s">
        <v>1465</v>
      </c>
      <c r="M86" t="s">
        <v>971</v>
      </c>
      <c r="N86" t="s">
        <v>971</v>
      </c>
      <c r="O86" t="s">
        <v>1732</v>
      </c>
      <c r="P86" t="s">
        <v>971</v>
      </c>
      <c r="Q86" t="s">
        <v>1425</v>
      </c>
      <c r="R86" t="s">
        <v>971</v>
      </c>
      <c r="S86" t="s">
        <v>1789</v>
      </c>
      <c r="T86" t="s">
        <v>971</v>
      </c>
      <c r="U86" t="s">
        <v>971</v>
      </c>
      <c r="V86" t="s">
        <v>971</v>
      </c>
      <c r="W86" t="s">
        <v>2497</v>
      </c>
      <c r="X86" t="s">
        <v>377</v>
      </c>
      <c r="Y86" t="s">
        <v>1635</v>
      </c>
      <c r="Z86" t="s">
        <v>475</v>
      </c>
      <c r="AA86" t="s">
        <v>1465</v>
      </c>
      <c r="AB86" t="s">
        <v>1285</v>
      </c>
      <c r="AC86" t="s">
        <v>971</v>
      </c>
      <c r="AD86" t="s">
        <v>971</v>
      </c>
      <c r="AE86" t="s">
        <v>1959</v>
      </c>
      <c r="AF86" t="s">
        <v>971</v>
      </c>
      <c r="AG86" t="s">
        <v>27</v>
      </c>
      <c r="AH86" t="s">
        <v>1465</v>
      </c>
      <c r="AI86" t="s">
        <v>971</v>
      </c>
      <c r="AJ86" t="s">
        <v>971</v>
      </c>
      <c r="AK86" t="s">
        <v>971</v>
      </c>
      <c r="AL86" t="s">
        <v>235</v>
      </c>
      <c r="AM86" t="s">
        <v>1223</v>
      </c>
      <c r="AN86" t="s">
        <v>1881</v>
      </c>
      <c r="AO86" t="s">
        <v>769</v>
      </c>
      <c r="AP86" t="s">
        <v>550</v>
      </c>
      <c r="AQ86" t="s">
        <v>971</v>
      </c>
    </row>
    <row r="87" spans="1:43" x14ac:dyDescent="0.2">
      <c r="A87" t="s">
        <v>972</v>
      </c>
      <c r="B87" t="s">
        <v>635</v>
      </c>
      <c r="C87" t="s">
        <v>972</v>
      </c>
      <c r="D87" t="s">
        <v>972</v>
      </c>
      <c r="E87" t="s">
        <v>1518</v>
      </c>
      <c r="F87" t="s">
        <v>972</v>
      </c>
      <c r="G87" t="s">
        <v>1224</v>
      </c>
      <c r="H87" t="s">
        <v>116</v>
      </c>
      <c r="I87" t="s">
        <v>972</v>
      </c>
      <c r="J87" t="s">
        <v>972</v>
      </c>
      <c r="K87" t="s">
        <v>1466</v>
      </c>
      <c r="L87" t="s">
        <v>1466</v>
      </c>
      <c r="M87" t="s">
        <v>972</v>
      </c>
      <c r="N87" t="s">
        <v>972</v>
      </c>
      <c r="O87" t="s">
        <v>1733</v>
      </c>
      <c r="P87" t="s">
        <v>972</v>
      </c>
      <c r="Q87" t="s">
        <v>1426</v>
      </c>
      <c r="R87" t="s">
        <v>972</v>
      </c>
      <c r="S87" t="s">
        <v>1790</v>
      </c>
      <c r="T87" t="s">
        <v>972</v>
      </c>
      <c r="U87" t="s">
        <v>972</v>
      </c>
      <c r="V87" t="s">
        <v>972</v>
      </c>
      <c r="W87" t="s">
        <v>2498</v>
      </c>
      <c r="X87" t="s">
        <v>378</v>
      </c>
      <c r="Y87" t="s">
        <v>1636</v>
      </c>
      <c r="Z87" t="s">
        <v>476</v>
      </c>
      <c r="AA87" t="s">
        <v>1466</v>
      </c>
      <c r="AB87" t="s">
        <v>1286</v>
      </c>
      <c r="AC87" t="s">
        <v>972</v>
      </c>
      <c r="AD87" t="s">
        <v>972</v>
      </c>
      <c r="AE87" t="s">
        <v>1960</v>
      </c>
      <c r="AF87" t="s">
        <v>972</v>
      </c>
      <c r="AG87" t="s">
        <v>28</v>
      </c>
      <c r="AH87" t="s">
        <v>1466</v>
      </c>
      <c r="AI87" t="s">
        <v>972</v>
      </c>
      <c r="AJ87" t="s">
        <v>972</v>
      </c>
      <c r="AK87" t="s">
        <v>972</v>
      </c>
      <c r="AL87" t="s">
        <v>236</v>
      </c>
      <c r="AM87" t="s">
        <v>1224</v>
      </c>
      <c r="AN87" t="s">
        <v>1882</v>
      </c>
      <c r="AO87" t="s">
        <v>770</v>
      </c>
      <c r="AP87" t="s">
        <v>551</v>
      </c>
      <c r="AQ87" t="s">
        <v>972</v>
      </c>
    </row>
    <row r="88" spans="1:43" x14ac:dyDescent="0.2">
      <c r="A88" t="s">
        <v>973</v>
      </c>
      <c r="B88" t="s">
        <v>636</v>
      </c>
      <c r="C88" t="s">
        <v>973</v>
      </c>
      <c r="D88" t="s">
        <v>973</v>
      </c>
      <c r="E88" t="s">
        <v>1519</v>
      </c>
      <c r="F88" t="s">
        <v>973</v>
      </c>
      <c r="G88" t="s">
        <v>1225</v>
      </c>
      <c r="H88" t="s">
        <v>117</v>
      </c>
      <c r="I88" t="s">
        <v>973</v>
      </c>
      <c r="J88" t="s">
        <v>973</v>
      </c>
      <c r="K88" t="s">
        <v>1467</v>
      </c>
      <c r="L88" t="s">
        <v>1467</v>
      </c>
      <c r="M88" t="s">
        <v>973</v>
      </c>
      <c r="N88" t="s">
        <v>973</v>
      </c>
      <c r="O88" t="s">
        <v>1734</v>
      </c>
      <c r="P88" t="s">
        <v>973</v>
      </c>
      <c r="Q88" t="s">
        <v>1427</v>
      </c>
      <c r="R88" t="s">
        <v>973</v>
      </c>
      <c r="S88" t="s">
        <v>1791</v>
      </c>
      <c r="T88" t="s">
        <v>973</v>
      </c>
      <c r="U88" t="s">
        <v>973</v>
      </c>
      <c r="V88" t="s">
        <v>973</v>
      </c>
      <c r="W88" t="s">
        <v>2499</v>
      </c>
      <c r="X88" t="s">
        <v>379</v>
      </c>
      <c r="Y88" t="s">
        <v>1637</v>
      </c>
      <c r="Z88" t="s">
        <v>477</v>
      </c>
      <c r="AA88" t="s">
        <v>1467</v>
      </c>
      <c r="AB88" t="s">
        <v>1287</v>
      </c>
      <c r="AC88" t="s">
        <v>973</v>
      </c>
      <c r="AD88" t="s">
        <v>973</v>
      </c>
      <c r="AE88" t="s">
        <v>1961</v>
      </c>
      <c r="AF88" t="s">
        <v>973</v>
      </c>
      <c r="AG88" t="s">
        <v>29</v>
      </c>
      <c r="AH88" t="s">
        <v>1467</v>
      </c>
      <c r="AI88" t="s">
        <v>973</v>
      </c>
      <c r="AJ88" t="s">
        <v>973</v>
      </c>
      <c r="AK88" t="s">
        <v>973</v>
      </c>
      <c r="AL88" t="s">
        <v>237</v>
      </c>
      <c r="AM88" t="s">
        <v>1225</v>
      </c>
      <c r="AN88" t="s">
        <v>1883</v>
      </c>
      <c r="AO88" t="s">
        <v>771</v>
      </c>
      <c r="AP88" t="s">
        <v>552</v>
      </c>
      <c r="AQ88" t="s">
        <v>973</v>
      </c>
    </row>
    <row r="89" spans="1:43" x14ac:dyDescent="0.2">
      <c r="A89" t="s">
        <v>974</v>
      </c>
      <c r="B89" t="s">
        <v>637</v>
      </c>
      <c r="C89" t="s">
        <v>974</v>
      </c>
      <c r="D89" t="s">
        <v>974</v>
      </c>
      <c r="E89" t="s">
        <v>1520</v>
      </c>
      <c r="F89" t="s">
        <v>974</v>
      </c>
      <c r="G89" t="s">
        <v>1226</v>
      </c>
      <c r="H89" t="s">
        <v>118</v>
      </c>
      <c r="I89" t="s">
        <v>974</v>
      </c>
      <c r="J89" t="s">
        <v>974</v>
      </c>
      <c r="K89" t="s">
        <v>1468</v>
      </c>
      <c r="L89" t="s">
        <v>1468</v>
      </c>
      <c r="M89" t="s">
        <v>974</v>
      </c>
      <c r="N89" t="s">
        <v>974</v>
      </c>
      <c r="O89" t="s">
        <v>1735</v>
      </c>
      <c r="P89" t="s">
        <v>974</v>
      </c>
      <c r="Q89" t="s">
        <v>1428</v>
      </c>
      <c r="R89" t="s">
        <v>974</v>
      </c>
      <c r="S89" t="s">
        <v>1792</v>
      </c>
      <c r="T89" t="s">
        <v>974</v>
      </c>
      <c r="U89" t="s">
        <v>974</v>
      </c>
      <c r="V89" t="s">
        <v>974</v>
      </c>
      <c r="W89" t="s">
        <v>2500</v>
      </c>
      <c r="X89" t="s">
        <v>380</v>
      </c>
      <c r="Y89" t="s">
        <v>1638</v>
      </c>
      <c r="Z89" t="s">
        <v>478</v>
      </c>
      <c r="AA89" t="s">
        <v>1468</v>
      </c>
      <c r="AB89" t="s">
        <v>1288</v>
      </c>
      <c r="AC89" t="s">
        <v>974</v>
      </c>
      <c r="AD89" t="s">
        <v>974</v>
      </c>
      <c r="AE89" t="s">
        <v>1962</v>
      </c>
      <c r="AF89" t="s">
        <v>974</v>
      </c>
      <c r="AG89" t="s">
        <v>30</v>
      </c>
      <c r="AH89" t="s">
        <v>1468</v>
      </c>
      <c r="AI89" t="s">
        <v>974</v>
      </c>
      <c r="AJ89" t="s">
        <v>974</v>
      </c>
      <c r="AK89" t="s">
        <v>974</v>
      </c>
      <c r="AL89" t="s">
        <v>238</v>
      </c>
      <c r="AM89" t="s">
        <v>1226</v>
      </c>
      <c r="AN89" t="s">
        <v>1884</v>
      </c>
      <c r="AO89" t="s">
        <v>772</v>
      </c>
      <c r="AP89" t="s">
        <v>553</v>
      </c>
      <c r="AQ89" t="s">
        <v>974</v>
      </c>
    </row>
    <row r="90" spans="1:43" x14ac:dyDescent="0.2">
      <c r="A90" t="s">
        <v>975</v>
      </c>
      <c r="B90" t="s">
        <v>638</v>
      </c>
      <c r="C90" t="s">
        <v>975</v>
      </c>
      <c r="D90" t="s">
        <v>975</v>
      </c>
      <c r="E90" t="s">
        <v>1521</v>
      </c>
      <c r="F90" t="s">
        <v>975</v>
      </c>
      <c r="G90" t="s">
        <v>1227</v>
      </c>
      <c r="H90" t="s">
        <v>119</v>
      </c>
      <c r="I90" t="s">
        <v>975</v>
      </c>
      <c r="J90" t="s">
        <v>975</v>
      </c>
      <c r="K90" t="s">
        <v>1469</v>
      </c>
      <c r="L90" t="s">
        <v>1469</v>
      </c>
      <c r="M90" t="s">
        <v>975</v>
      </c>
      <c r="N90" t="s">
        <v>975</v>
      </c>
      <c r="O90" t="s">
        <v>1736</v>
      </c>
      <c r="P90" t="s">
        <v>975</v>
      </c>
      <c r="Q90" t="s">
        <v>1429</v>
      </c>
      <c r="R90" t="s">
        <v>975</v>
      </c>
      <c r="S90" t="s">
        <v>1793</v>
      </c>
      <c r="T90" t="s">
        <v>975</v>
      </c>
      <c r="U90" t="s">
        <v>975</v>
      </c>
      <c r="V90" t="s">
        <v>975</v>
      </c>
      <c r="W90" t="s">
        <v>2501</v>
      </c>
      <c r="X90" t="s">
        <v>381</v>
      </c>
      <c r="Y90" t="s">
        <v>1639</v>
      </c>
      <c r="Z90" t="s">
        <v>479</v>
      </c>
      <c r="AA90" t="s">
        <v>1469</v>
      </c>
      <c r="AB90" t="s">
        <v>1289</v>
      </c>
      <c r="AC90" t="s">
        <v>975</v>
      </c>
      <c r="AD90" t="s">
        <v>975</v>
      </c>
      <c r="AE90" t="s">
        <v>1963</v>
      </c>
      <c r="AF90" t="s">
        <v>975</v>
      </c>
      <c r="AG90" t="s">
        <v>31</v>
      </c>
      <c r="AH90" t="s">
        <v>1469</v>
      </c>
      <c r="AI90" t="s">
        <v>975</v>
      </c>
      <c r="AJ90" t="s">
        <v>975</v>
      </c>
      <c r="AK90" t="s">
        <v>975</v>
      </c>
      <c r="AL90" t="s">
        <v>239</v>
      </c>
      <c r="AM90" t="s">
        <v>1227</v>
      </c>
      <c r="AN90" t="s">
        <v>1885</v>
      </c>
      <c r="AO90" t="s">
        <v>773</v>
      </c>
      <c r="AP90" t="s">
        <v>554</v>
      </c>
      <c r="AQ90" t="s">
        <v>975</v>
      </c>
    </row>
    <row r="91" spans="1:43" x14ac:dyDescent="0.2">
      <c r="A91" t="s">
        <v>976</v>
      </c>
      <c r="B91" t="s">
        <v>639</v>
      </c>
      <c r="C91" t="s">
        <v>976</v>
      </c>
      <c r="D91" t="s">
        <v>976</v>
      </c>
      <c r="E91" t="s">
        <v>1522</v>
      </c>
      <c r="F91" t="s">
        <v>976</v>
      </c>
      <c r="G91" t="s">
        <v>1228</v>
      </c>
      <c r="H91" t="s">
        <v>120</v>
      </c>
      <c r="I91" t="s">
        <v>976</v>
      </c>
      <c r="J91" t="s">
        <v>976</v>
      </c>
      <c r="K91" t="s">
        <v>1470</v>
      </c>
      <c r="L91" t="s">
        <v>1470</v>
      </c>
      <c r="M91" t="s">
        <v>976</v>
      </c>
      <c r="N91" t="s">
        <v>976</v>
      </c>
      <c r="O91" t="s">
        <v>1737</v>
      </c>
      <c r="P91" t="s">
        <v>976</v>
      </c>
      <c r="Q91" t="s">
        <v>1430</v>
      </c>
      <c r="R91" t="s">
        <v>976</v>
      </c>
      <c r="S91" t="s">
        <v>1794</v>
      </c>
      <c r="T91" t="s">
        <v>976</v>
      </c>
      <c r="U91" t="s">
        <v>976</v>
      </c>
      <c r="V91" t="s">
        <v>976</v>
      </c>
      <c r="W91" t="s">
        <v>2502</v>
      </c>
      <c r="X91" t="s">
        <v>382</v>
      </c>
      <c r="Y91" t="s">
        <v>1640</v>
      </c>
      <c r="Z91" t="s">
        <v>480</v>
      </c>
      <c r="AA91" t="s">
        <v>1470</v>
      </c>
      <c r="AB91" t="s">
        <v>1290</v>
      </c>
      <c r="AC91" t="s">
        <v>976</v>
      </c>
      <c r="AD91" t="s">
        <v>976</v>
      </c>
      <c r="AE91" t="s">
        <v>1964</v>
      </c>
      <c r="AF91" t="s">
        <v>976</v>
      </c>
      <c r="AG91" t="s">
        <v>32</v>
      </c>
      <c r="AH91" t="s">
        <v>1470</v>
      </c>
      <c r="AI91" t="s">
        <v>976</v>
      </c>
      <c r="AJ91" t="s">
        <v>976</v>
      </c>
      <c r="AK91" t="s">
        <v>976</v>
      </c>
      <c r="AL91" t="s">
        <v>240</v>
      </c>
      <c r="AM91" t="s">
        <v>1228</v>
      </c>
      <c r="AN91" t="s">
        <v>1886</v>
      </c>
      <c r="AO91" t="s">
        <v>774</v>
      </c>
      <c r="AP91" t="s">
        <v>555</v>
      </c>
      <c r="AQ91" t="s">
        <v>976</v>
      </c>
    </row>
    <row r="92" spans="1:43" x14ac:dyDescent="0.2">
      <c r="A92" t="s">
        <v>977</v>
      </c>
      <c r="B92" t="s">
        <v>640</v>
      </c>
      <c r="C92" t="s">
        <v>977</v>
      </c>
      <c r="D92" t="s">
        <v>977</v>
      </c>
      <c r="E92" t="s">
        <v>1523</v>
      </c>
      <c r="F92" t="s">
        <v>977</v>
      </c>
      <c r="G92" t="s">
        <v>1229</v>
      </c>
      <c r="H92" t="s">
        <v>121</v>
      </c>
      <c r="I92" t="s">
        <v>977</v>
      </c>
      <c r="J92" t="s">
        <v>977</v>
      </c>
      <c r="K92" t="s">
        <v>1471</v>
      </c>
      <c r="L92" t="s">
        <v>1471</v>
      </c>
      <c r="M92" t="s">
        <v>977</v>
      </c>
      <c r="N92" t="s">
        <v>977</v>
      </c>
      <c r="O92" t="s">
        <v>1738</v>
      </c>
      <c r="P92" t="s">
        <v>977</v>
      </c>
      <c r="Q92" t="s">
        <v>1431</v>
      </c>
      <c r="R92" t="s">
        <v>977</v>
      </c>
      <c r="S92" t="s">
        <v>1795</v>
      </c>
      <c r="T92" t="s">
        <v>977</v>
      </c>
      <c r="U92" t="s">
        <v>977</v>
      </c>
      <c r="V92" t="s">
        <v>977</v>
      </c>
      <c r="W92" t="s">
        <v>2503</v>
      </c>
      <c r="X92" t="s">
        <v>383</v>
      </c>
      <c r="Y92" t="s">
        <v>1641</v>
      </c>
      <c r="Z92" t="s">
        <v>481</v>
      </c>
      <c r="AA92" t="s">
        <v>1471</v>
      </c>
      <c r="AB92" t="s">
        <v>1291</v>
      </c>
      <c r="AC92" t="s">
        <v>977</v>
      </c>
      <c r="AD92" t="s">
        <v>977</v>
      </c>
      <c r="AE92" t="s">
        <v>1965</v>
      </c>
      <c r="AF92" t="s">
        <v>977</v>
      </c>
      <c r="AG92" t="s">
        <v>33</v>
      </c>
      <c r="AH92" t="s">
        <v>1471</v>
      </c>
      <c r="AI92" t="s">
        <v>977</v>
      </c>
      <c r="AJ92" t="s">
        <v>977</v>
      </c>
      <c r="AK92" t="s">
        <v>977</v>
      </c>
      <c r="AL92" t="s">
        <v>241</v>
      </c>
      <c r="AM92" t="s">
        <v>1229</v>
      </c>
      <c r="AN92" t="s">
        <v>1887</v>
      </c>
      <c r="AO92" t="s">
        <v>775</v>
      </c>
      <c r="AP92" t="s">
        <v>556</v>
      </c>
      <c r="AQ92" t="s">
        <v>977</v>
      </c>
    </row>
    <row r="93" spans="1:43" x14ac:dyDescent="0.2">
      <c r="A93" t="s">
        <v>978</v>
      </c>
      <c r="B93" t="s">
        <v>641</v>
      </c>
      <c r="C93" t="s">
        <v>978</v>
      </c>
      <c r="D93" t="s">
        <v>978</v>
      </c>
      <c r="E93" t="s">
        <v>1524</v>
      </c>
      <c r="F93" t="s">
        <v>978</v>
      </c>
      <c r="G93" t="s">
        <v>1230</v>
      </c>
      <c r="H93" t="s">
        <v>122</v>
      </c>
      <c r="I93" t="s">
        <v>978</v>
      </c>
      <c r="J93" t="s">
        <v>978</v>
      </c>
      <c r="K93" t="s">
        <v>1472</v>
      </c>
      <c r="L93" t="s">
        <v>1472</v>
      </c>
      <c r="M93" t="s">
        <v>978</v>
      </c>
      <c r="N93" t="s">
        <v>978</v>
      </c>
      <c r="O93" t="s">
        <v>1739</v>
      </c>
      <c r="P93" t="s">
        <v>978</v>
      </c>
      <c r="Q93" t="s">
        <v>1432</v>
      </c>
      <c r="R93" t="s">
        <v>978</v>
      </c>
      <c r="S93" t="s">
        <v>1796</v>
      </c>
      <c r="T93" t="s">
        <v>978</v>
      </c>
      <c r="U93" t="s">
        <v>978</v>
      </c>
      <c r="V93" t="s">
        <v>978</v>
      </c>
      <c r="W93" t="s">
        <v>2504</v>
      </c>
      <c r="X93" t="s">
        <v>384</v>
      </c>
      <c r="Y93" t="s">
        <v>1642</v>
      </c>
      <c r="Z93" t="s">
        <v>482</v>
      </c>
      <c r="AA93" t="s">
        <v>1472</v>
      </c>
      <c r="AB93" t="s">
        <v>1292</v>
      </c>
      <c r="AC93" t="s">
        <v>978</v>
      </c>
      <c r="AD93" t="s">
        <v>978</v>
      </c>
      <c r="AE93" t="s">
        <v>1966</v>
      </c>
      <c r="AF93" t="s">
        <v>978</v>
      </c>
      <c r="AG93" t="s">
        <v>34</v>
      </c>
      <c r="AH93" t="s">
        <v>1472</v>
      </c>
      <c r="AI93" t="s">
        <v>978</v>
      </c>
      <c r="AJ93" t="s">
        <v>978</v>
      </c>
      <c r="AK93" t="s">
        <v>978</v>
      </c>
      <c r="AL93" t="s">
        <v>242</v>
      </c>
      <c r="AM93" t="s">
        <v>1230</v>
      </c>
      <c r="AN93" t="s">
        <v>1888</v>
      </c>
      <c r="AO93" t="s">
        <v>776</v>
      </c>
      <c r="AP93" t="s">
        <v>557</v>
      </c>
      <c r="AQ93" t="s">
        <v>978</v>
      </c>
    </row>
    <row r="94" spans="1:43" x14ac:dyDescent="0.2">
      <c r="A94" t="s">
        <v>1044</v>
      </c>
      <c r="B94" t="s">
        <v>642</v>
      </c>
      <c r="C94" t="s">
        <v>1044</v>
      </c>
      <c r="D94" t="s">
        <v>1044</v>
      </c>
      <c r="E94" t="s">
        <v>1525</v>
      </c>
      <c r="F94" t="s">
        <v>1044</v>
      </c>
      <c r="G94" t="s">
        <v>1231</v>
      </c>
      <c r="H94" t="s">
        <v>123</v>
      </c>
      <c r="I94" t="s">
        <v>1044</v>
      </c>
      <c r="J94" t="s">
        <v>1044</v>
      </c>
      <c r="K94" t="s">
        <v>1473</v>
      </c>
      <c r="L94" t="s">
        <v>1473</v>
      </c>
      <c r="M94" t="s">
        <v>1044</v>
      </c>
      <c r="N94" t="s">
        <v>1044</v>
      </c>
      <c r="O94" t="s">
        <v>1740</v>
      </c>
      <c r="P94" t="s">
        <v>1044</v>
      </c>
      <c r="Q94" t="s">
        <v>1433</v>
      </c>
      <c r="R94" t="s">
        <v>1044</v>
      </c>
      <c r="S94" t="s">
        <v>1797</v>
      </c>
      <c r="T94" t="s">
        <v>1044</v>
      </c>
      <c r="U94" t="s">
        <v>1044</v>
      </c>
      <c r="V94" t="s">
        <v>1044</v>
      </c>
      <c r="W94" t="s">
        <v>2505</v>
      </c>
      <c r="X94" t="s">
        <v>385</v>
      </c>
      <c r="Y94" t="s">
        <v>1643</v>
      </c>
      <c r="Z94" t="s">
        <v>483</v>
      </c>
      <c r="AA94" t="s">
        <v>1473</v>
      </c>
      <c r="AB94" t="s">
        <v>1293</v>
      </c>
      <c r="AC94" t="s">
        <v>1044</v>
      </c>
      <c r="AD94" t="s">
        <v>1044</v>
      </c>
      <c r="AE94" t="s">
        <v>1967</v>
      </c>
      <c r="AF94" t="s">
        <v>1044</v>
      </c>
      <c r="AG94" t="s">
        <v>35</v>
      </c>
      <c r="AH94" t="s">
        <v>1473</v>
      </c>
      <c r="AI94" t="s">
        <v>1044</v>
      </c>
      <c r="AJ94" t="s">
        <v>1044</v>
      </c>
      <c r="AK94" t="s">
        <v>1044</v>
      </c>
      <c r="AL94" t="s">
        <v>243</v>
      </c>
      <c r="AM94" t="s">
        <v>1231</v>
      </c>
      <c r="AN94" t="s">
        <v>1889</v>
      </c>
      <c r="AO94" t="s">
        <v>777</v>
      </c>
      <c r="AP94" t="s">
        <v>558</v>
      </c>
      <c r="AQ94" t="s">
        <v>1044</v>
      </c>
    </row>
    <row r="95" spans="1:43" x14ac:dyDescent="0.2">
      <c r="A95" t="s">
        <v>1045</v>
      </c>
      <c r="B95" t="s">
        <v>643</v>
      </c>
      <c r="C95" t="s">
        <v>1045</v>
      </c>
      <c r="D95" t="s">
        <v>1045</v>
      </c>
      <c r="E95" t="s">
        <v>1526</v>
      </c>
      <c r="F95" t="s">
        <v>1045</v>
      </c>
      <c r="G95" t="s">
        <v>1232</v>
      </c>
      <c r="H95" t="s">
        <v>124</v>
      </c>
      <c r="I95" t="s">
        <v>1045</v>
      </c>
      <c r="J95" t="s">
        <v>1045</v>
      </c>
      <c r="K95" t="s">
        <v>1474</v>
      </c>
      <c r="L95" t="s">
        <v>1474</v>
      </c>
      <c r="M95" t="s">
        <v>1045</v>
      </c>
      <c r="N95" t="s">
        <v>1045</v>
      </c>
      <c r="O95" t="s">
        <v>1741</v>
      </c>
      <c r="P95" t="s">
        <v>1045</v>
      </c>
      <c r="Q95" t="s">
        <v>1434</v>
      </c>
      <c r="R95" t="s">
        <v>1045</v>
      </c>
      <c r="S95" t="s">
        <v>1798</v>
      </c>
      <c r="T95" t="s">
        <v>1045</v>
      </c>
      <c r="U95" t="s">
        <v>1045</v>
      </c>
      <c r="V95" t="s">
        <v>1045</v>
      </c>
      <c r="W95" t="s">
        <v>2506</v>
      </c>
      <c r="X95" t="s">
        <v>386</v>
      </c>
      <c r="Y95" t="s">
        <v>1644</v>
      </c>
      <c r="Z95" t="s">
        <v>484</v>
      </c>
      <c r="AA95" t="s">
        <v>1474</v>
      </c>
      <c r="AB95" t="s">
        <v>1294</v>
      </c>
      <c r="AC95" t="s">
        <v>1045</v>
      </c>
      <c r="AD95" t="s">
        <v>1045</v>
      </c>
      <c r="AE95" t="s">
        <v>1968</v>
      </c>
      <c r="AF95" t="s">
        <v>1045</v>
      </c>
      <c r="AG95" t="s">
        <v>36</v>
      </c>
      <c r="AH95" t="s">
        <v>1474</v>
      </c>
      <c r="AI95" t="s">
        <v>1045</v>
      </c>
      <c r="AJ95" t="s">
        <v>1045</v>
      </c>
      <c r="AK95" t="s">
        <v>1045</v>
      </c>
      <c r="AL95" t="s">
        <v>244</v>
      </c>
      <c r="AM95" t="s">
        <v>1232</v>
      </c>
      <c r="AN95" t="s">
        <v>1890</v>
      </c>
      <c r="AO95" t="s">
        <v>778</v>
      </c>
      <c r="AP95" t="s">
        <v>559</v>
      </c>
      <c r="AQ95" t="s">
        <v>1045</v>
      </c>
    </row>
    <row r="96" spans="1:43" x14ac:dyDescent="0.2">
      <c r="A96" t="s">
        <v>1046</v>
      </c>
      <c r="B96" t="s">
        <v>644</v>
      </c>
      <c r="C96" t="s">
        <v>1046</v>
      </c>
      <c r="D96" t="s">
        <v>1046</v>
      </c>
      <c r="E96" t="s">
        <v>1527</v>
      </c>
      <c r="F96" t="s">
        <v>1046</v>
      </c>
      <c r="G96" t="s">
        <v>1233</v>
      </c>
      <c r="H96" t="s">
        <v>125</v>
      </c>
      <c r="I96" t="s">
        <v>1046</v>
      </c>
      <c r="J96" t="s">
        <v>1046</v>
      </c>
      <c r="K96" t="s">
        <v>1475</v>
      </c>
      <c r="L96" t="s">
        <v>1475</v>
      </c>
      <c r="M96" t="s">
        <v>1046</v>
      </c>
      <c r="N96" t="s">
        <v>1046</v>
      </c>
      <c r="O96" t="s">
        <v>1742</v>
      </c>
      <c r="P96" t="s">
        <v>1046</v>
      </c>
      <c r="Q96" t="s">
        <v>1435</v>
      </c>
      <c r="R96" t="s">
        <v>1046</v>
      </c>
      <c r="S96" t="s">
        <v>1799</v>
      </c>
      <c r="T96" t="s">
        <v>1046</v>
      </c>
      <c r="U96" t="s">
        <v>1046</v>
      </c>
      <c r="V96" t="s">
        <v>1046</v>
      </c>
      <c r="W96" t="s">
        <v>2507</v>
      </c>
      <c r="X96" t="s">
        <v>387</v>
      </c>
      <c r="Y96" t="s">
        <v>1645</v>
      </c>
      <c r="Z96" t="s">
        <v>485</v>
      </c>
      <c r="AA96" t="s">
        <v>1475</v>
      </c>
      <c r="AB96" t="s">
        <v>1295</v>
      </c>
      <c r="AC96" t="s">
        <v>1046</v>
      </c>
      <c r="AD96" t="s">
        <v>1046</v>
      </c>
      <c r="AE96" t="s">
        <v>1969</v>
      </c>
      <c r="AF96" t="s">
        <v>1046</v>
      </c>
      <c r="AG96" t="s">
        <v>37</v>
      </c>
      <c r="AH96" t="s">
        <v>1475</v>
      </c>
      <c r="AI96" t="s">
        <v>1046</v>
      </c>
      <c r="AJ96" t="s">
        <v>1046</v>
      </c>
      <c r="AK96" t="s">
        <v>1046</v>
      </c>
      <c r="AL96" t="s">
        <v>245</v>
      </c>
      <c r="AM96" t="s">
        <v>1233</v>
      </c>
      <c r="AN96" t="s">
        <v>1891</v>
      </c>
      <c r="AO96" t="s">
        <v>779</v>
      </c>
      <c r="AP96" t="s">
        <v>560</v>
      </c>
      <c r="AQ96" t="s">
        <v>1046</v>
      </c>
    </row>
    <row r="97" spans="1:43" x14ac:dyDescent="0.2">
      <c r="A97" t="s">
        <v>1047</v>
      </c>
      <c r="B97" t="s">
        <v>645</v>
      </c>
      <c r="C97" t="s">
        <v>1047</v>
      </c>
      <c r="D97" t="s">
        <v>1047</v>
      </c>
      <c r="E97" t="s">
        <v>1528</v>
      </c>
      <c r="F97" t="s">
        <v>1047</v>
      </c>
      <c r="G97" t="s">
        <v>1234</v>
      </c>
      <c r="H97" t="s">
        <v>126</v>
      </c>
      <c r="I97" t="s">
        <v>1047</v>
      </c>
      <c r="J97" t="s">
        <v>1047</v>
      </c>
      <c r="K97" t="s">
        <v>1476</v>
      </c>
      <c r="L97" t="s">
        <v>1476</v>
      </c>
      <c r="M97" t="s">
        <v>1047</v>
      </c>
      <c r="N97" t="s">
        <v>1047</v>
      </c>
      <c r="O97" t="s">
        <v>1743</v>
      </c>
      <c r="P97" t="s">
        <v>1047</v>
      </c>
      <c r="Q97" t="s">
        <v>1436</v>
      </c>
      <c r="R97" t="s">
        <v>1047</v>
      </c>
      <c r="S97" t="s">
        <v>1800</v>
      </c>
      <c r="T97" t="s">
        <v>1047</v>
      </c>
      <c r="U97" t="s">
        <v>1047</v>
      </c>
      <c r="V97" t="s">
        <v>1047</v>
      </c>
      <c r="W97" t="s">
        <v>2508</v>
      </c>
      <c r="X97" t="s">
        <v>388</v>
      </c>
      <c r="Y97" t="s">
        <v>1646</v>
      </c>
      <c r="Z97" t="s">
        <v>486</v>
      </c>
      <c r="AA97" t="s">
        <v>1476</v>
      </c>
      <c r="AB97" t="s">
        <v>1296</v>
      </c>
      <c r="AC97" t="s">
        <v>1047</v>
      </c>
      <c r="AD97" t="s">
        <v>1047</v>
      </c>
      <c r="AE97" t="s">
        <v>1970</v>
      </c>
      <c r="AF97" t="s">
        <v>1047</v>
      </c>
      <c r="AG97" t="s">
        <v>38</v>
      </c>
      <c r="AH97" t="s">
        <v>1476</v>
      </c>
      <c r="AI97" t="s">
        <v>1047</v>
      </c>
      <c r="AJ97" t="s">
        <v>1047</v>
      </c>
      <c r="AK97" t="s">
        <v>1047</v>
      </c>
      <c r="AL97" t="s">
        <v>246</v>
      </c>
      <c r="AM97" t="s">
        <v>1234</v>
      </c>
      <c r="AN97" t="s">
        <v>1892</v>
      </c>
      <c r="AO97" t="s">
        <v>780</v>
      </c>
      <c r="AP97" t="s">
        <v>561</v>
      </c>
      <c r="AQ97" t="s">
        <v>1047</v>
      </c>
    </row>
    <row r="98" spans="1:43" x14ac:dyDescent="0.2">
      <c r="A98" t="s">
        <v>1048</v>
      </c>
      <c r="B98" t="s">
        <v>646</v>
      </c>
      <c r="C98" t="s">
        <v>1048</v>
      </c>
      <c r="D98" t="s">
        <v>1048</v>
      </c>
      <c r="E98" t="s">
        <v>1529</v>
      </c>
      <c r="F98" t="s">
        <v>1048</v>
      </c>
      <c r="G98" t="s">
        <v>1235</v>
      </c>
      <c r="H98" t="s">
        <v>127</v>
      </c>
      <c r="I98" t="s">
        <v>1048</v>
      </c>
      <c r="J98" t="s">
        <v>1048</v>
      </c>
      <c r="K98" t="s">
        <v>1123</v>
      </c>
      <c r="L98" t="s">
        <v>1123</v>
      </c>
      <c r="M98" t="s">
        <v>1048</v>
      </c>
      <c r="N98" t="s">
        <v>1048</v>
      </c>
      <c r="O98" t="s">
        <v>1744</v>
      </c>
      <c r="P98" t="s">
        <v>1048</v>
      </c>
      <c r="Q98" t="s">
        <v>1437</v>
      </c>
      <c r="R98" t="s">
        <v>1048</v>
      </c>
      <c r="S98" t="s">
        <v>1801</v>
      </c>
      <c r="T98" t="s">
        <v>1048</v>
      </c>
      <c r="U98" t="s">
        <v>1048</v>
      </c>
      <c r="V98" t="s">
        <v>1048</v>
      </c>
      <c r="W98" t="s">
        <v>1934</v>
      </c>
      <c r="X98" t="s">
        <v>1050</v>
      </c>
      <c r="Y98" t="s">
        <v>1647</v>
      </c>
      <c r="Z98" t="s">
        <v>487</v>
      </c>
      <c r="AA98" t="s">
        <v>1123</v>
      </c>
      <c r="AB98" t="s">
        <v>1297</v>
      </c>
      <c r="AC98" t="s">
        <v>1048</v>
      </c>
      <c r="AD98" t="s">
        <v>1048</v>
      </c>
      <c r="AE98" t="s">
        <v>1971</v>
      </c>
      <c r="AF98" t="s">
        <v>1048</v>
      </c>
      <c r="AG98" t="s">
        <v>1358</v>
      </c>
      <c r="AH98" t="s">
        <v>1123</v>
      </c>
      <c r="AI98" t="s">
        <v>1048</v>
      </c>
      <c r="AJ98" t="s">
        <v>1048</v>
      </c>
      <c r="AK98" t="s">
        <v>1048</v>
      </c>
      <c r="AL98" t="s">
        <v>247</v>
      </c>
      <c r="AM98" t="s">
        <v>1235</v>
      </c>
      <c r="AN98" t="s">
        <v>1692</v>
      </c>
      <c r="AO98" t="s">
        <v>781</v>
      </c>
      <c r="AP98" t="s">
        <v>562</v>
      </c>
      <c r="AQ98" t="s">
        <v>1048</v>
      </c>
    </row>
    <row r="99" spans="1:43" x14ac:dyDescent="0.2">
      <c r="A99" t="s">
        <v>1049</v>
      </c>
      <c r="B99" t="s">
        <v>647</v>
      </c>
      <c r="C99" t="s">
        <v>1049</v>
      </c>
      <c r="D99" t="s">
        <v>1049</v>
      </c>
      <c r="E99" t="s">
        <v>1530</v>
      </c>
      <c r="F99" t="s">
        <v>1049</v>
      </c>
      <c r="G99" t="s">
        <v>1236</v>
      </c>
      <c r="H99" t="s">
        <v>128</v>
      </c>
      <c r="I99" t="s">
        <v>1049</v>
      </c>
      <c r="J99" t="s">
        <v>1049</v>
      </c>
      <c r="K99" t="s">
        <v>1124</v>
      </c>
      <c r="L99" t="s">
        <v>1124</v>
      </c>
      <c r="M99" t="s">
        <v>1049</v>
      </c>
      <c r="N99" t="s">
        <v>1049</v>
      </c>
      <c r="O99" t="s">
        <v>1745</v>
      </c>
      <c r="P99" t="s">
        <v>1049</v>
      </c>
      <c r="Q99" t="s">
        <v>1438</v>
      </c>
      <c r="R99" t="s">
        <v>1049</v>
      </c>
      <c r="S99" t="s">
        <v>1802</v>
      </c>
      <c r="T99" t="s">
        <v>1049</v>
      </c>
      <c r="U99" t="s">
        <v>1049</v>
      </c>
      <c r="V99" t="s">
        <v>1049</v>
      </c>
      <c r="W99" t="s">
        <v>2509</v>
      </c>
      <c r="X99" t="s">
        <v>1051</v>
      </c>
      <c r="Y99" t="s">
        <v>1648</v>
      </c>
      <c r="Z99" t="s">
        <v>488</v>
      </c>
      <c r="AA99" t="s">
        <v>1124</v>
      </c>
      <c r="AB99" t="s">
        <v>1298</v>
      </c>
      <c r="AC99" t="s">
        <v>1049</v>
      </c>
      <c r="AD99" t="s">
        <v>1049</v>
      </c>
      <c r="AE99" t="s">
        <v>1972</v>
      </c>
      <c r="AF99" t="s">
        <v>1049</v>
      </c>
      <c r="AG99" t="s">
        <v>1359</v>
      </c>
      <c r="AH99" t="s">
        <v>1124</v>
      </c>
      <c r="AI99" t="s">
        <v>1049</v>
      </c>
      <c r="AJ99" t="s">
        <v>1049</v>
      </c>
      <c r="AK99" t="s">
        <v>1049</v>
      </c>
      <c r="AL99" t="s">
        <v>248</v>
      </c>
      <c r="AM99" t="s">
        <v>1236</v>
      </c>
      <c r="AN99" t="s">
        <v>1693</v>
      </c>
      <c r="AO99" t="s">
        <v>782</v>
      </c>
      <c r="AP99" t="s">
        <v>563</v>
      </c>
      <c r="AQ99" t="s">
        <v>1049</v>
      </c>
    </row>
    <row r="100" spans="1:43" x14ac:dyDescent="0.2">
      <c r="A100" t="s">
        <v>1050</v>
      </c>
      <c r="B100" t="s">
        <v>648</v>
      </c>
      <c r="C100" t="s">
        <v>1050</v>
      </c>
      <c r="D100" t="s">
        <v>1050</v>
      </c>
      <c r="E100" t="s">
        <v>1237</v>
      </c>
      <c r="F100" t="s">
        <v>1050</v>
      </c>
      <c r="G100" t="s">
        <v>1358</v>
      </c>
      <c r="H100" t="s">
        <v>129</v>
      </c>
      <c r="I100" t="s">
        <v>1050</v>
      </c>
      <c r="J100" t="s">
        <v>1050</v>
      </c>
      <c r="K100" t="s">
        <v>1358</v>
      </c>
      <c r="L100" t="s">
        <v>1692</v>
      </c>
      <c r="M100" t="s">
        <v>1123</v>
      </c>
      <c r="N100" t="s">
        <v>1050</v>
      </c>
      <c r="O100" t="s">
        <v>1746</v>
      </c>
      <c r="P100" t="s">
        <v>1050</v>
      </c>
      <c r="Q100" t="s">
        <v>1439</v>
      </c>
      <c r="R100" t="s">
        <v>1050</v>
      </c>
      <c r="S100" t="s">
        <v>1123</v>
      </c>
      <c r="T100" t="s">
        <v>1050</v>
      </c>
      <c r="U100" t="s">
        <v>1050</v>
      </c>
      <c r="V100" t="s">
        <v>1050</v>
      </c>
      <c r="W100" t="s">
        <v>2510</v>
      </c>
      <c r="X100" t="s">
        <v>1358</v>
      </c>
      <c r="Y100" t="s">
        <v>1649</v>
      </c>
      <c r="Z100" t="s">
        <v>1692</v>
      </c>
      <c r="AA100" t="s">
        <v>1692</v>
      </c>
      <c r="AB100" t="s">
        <v>1299</v>
      </c>
      <c r="AC100" t="s">
        <v>1050</v>
      </c>
      <c r="AD100" t="s">
        <v>1050</v>
      </c>
      <c r="AE100" t="s">
        <v>1358</v>
      </c>
      <c r="AF100" t="s">
        <v>1050</v>
      </c>
      <c r="AG100" t="s">
        <v>39</v>
      </c>
      <c r="AH100" t="s">
        <v>1358</v>
      </c>
      <c r="AI100" t="s">
        <v>1050</v>
      </c>
      <c r="AJ100" t="s">
        <v>1050</v>
      </c>
      <c r="AK100" t="s">
        <v>1050</v>
      </c>
      <c r="AL100" t="s">
        <v>249</v>
      </c>
      <c r="AM100" t="s">
        <v>1237</v>
      </c>
      <c r="AN100" t="s">
        <v>1893</v>
      </c>
      <c r="AO100" t="s">
        <v>783</v>
      </c>
      <c r="AP100" t="s">
        <v>564</v>
      </c>
      <c r="AQ100" t="s">
        <v>1050</v>
      </c>
    </row>
    <row r="101" spans="1:43" x14ac:dyDescent="0.2">
      <c r="A101" t="s">
        <v>1051</v>
      </c>
      <c r="B101" t="s">
        <v>649</v>
      </c>
      <c r="C101" t="s">
        <v>1051</v>
      </c>
      <c r="D101" t="s">
        <v>1051</v>
      </c>
      <c r="E101" t="s">
        <v>1238</v>
      </c>
      <c r="F101" t="s">
        <v>1051</v>
      </c>
      <c r="G101" t="s">
        <v>1359</v>
      </c>
      <c r="H101" t="s">
        <v>130</v>
      </c>
      <c r="I101" t="s">
        <v>1051</v>
      </c>
      <c r="J101" t="s">
        <v>1051</v>
      </c>
      <c r="K101" t="s">
        <v>1359</v>
      </c>
      <c r="L101" t="s">
        <v>1693</v>
      </c>
      <c r="M101" t="s">
        <v>1124</v>
      </c>
      <c r="N101" t="s">
        <v>1051</v>
      </c>
      <c r="O101" t="s">
        <v>1747</v>
      </c>
      <c r="P101" t="s">
        <v>1051</v>
      </c>
      <c r="Q101" t="s">
        <v>1440</v>
      </c>
      <c r="R101" t="s">
        <v>1051</v>
      </c>
      <c r="S101" t="s">
        <v>1124</v>
      </c>
      <c r="T101" t="s">
        <v>1051</v>
      </c>
      <c r="U101" t="s">
        <v>1051</v>
      </c>
      <c r="V101" t="s">
        <v>1051</v>
      </c>
      <c r="W101" t="s">
        <v>2511</v>
      </c>
      <c r="X101" t="s">
        <v>1359</v>
      </c>
      <c r="Y101" t="s">
        <v>1650</v>
      </c>
      <c r="Z101" t="s">
        <v>1693</v>
      </c>
      <c r="AA101" t="s">
        <v>1693</v>
      </c>
      <c r="AB101" t="s">
        <v>1300</v>
      </c>
      <c r="AC101" t="s">
        <v>1051</v>
      </c>
      <c r="AD101" t="s">
        <v>1051</v>
      </c>
      <c r="AE101" t="s">
        <v>1359</v>
      </c>
      <c r="AF101" t="s">
        <v>1051</v>
      </c>
      <c r="AG101" t="s">
        <v>40</v>
      </c>
      <c r="AH101" t="s">
        <v>1359</v>
      </c>
      <c r="AI101" t="s">
        <v>1051</v>
      </c>
      <c r="AJ101" t="s">
        <v>1051</v>
      </c>
      <c r="AK101" t="s">
        <v>1051</v>
      </c>
      <c r="AL101" t="s">
        <v>250</v>
      </c>
      <c r="AM101" t="s">
        <v>1238</v>
      </c>
      <c r="AN101" t="s">
        <v>1894</v>
      </c>
      <c r="AO101" t="s">
        <v>784</v>
      </c>
      <c r="AP101" t="s">
        <v>565</v>
      </c>
      <c r="AQ101" t="s">
        <v>1051</v>
      </c>
    </row>
    <row r="102" spans="1:43" x14ac:dyDescent="0.2">
      <c r="A102" t="s">
        <v>2016</v>
      </c>
      <c r="B102" t="s">
        <v>650</v>
      </c>
      <c r="C102" t="s">
        <v>2017</v>
      </c>
      <c r="D102" t="s">
        <v>2018</v>
      </c>
      <c r="E102" t="s">
        <v>2019</v>
      </c>
      <c r="F102" t="s">
        <v>2020</v>
      </c>
      <c r="G102" t="s">
        <v>2021</v>
      </c>
      <c r="H102" t="s">
        <v>2022</v>
      </c>
      <c r="I102" t="s">
        <v>2016</v>
      </c>
      <c r="J102" t="s">
        <v>2023</v>
      </c>
      <c r="K102" t="s">
        <v>2024</v>
      </c>
      <c r="L102" t="s">
        <v>2025</v>
      </c>
      <c r="M102" t="s">
        <v>2026</v>
      </c>
      <c r="N102" t="s">
        <v>2028</v>
      </c>
      <c r="O102" t="s">
        <v>2029</v>
      </c>
      <c r="P102" t="s">
        <v>2030</v>
      </c>
      <c r="Q102" t="s">
        <v>2031</v>
      </c>
      <c r="R102" t="s">
        <v>2032</v>
      </c>
      <c r="S102" t="s">
        <v>1803</v>
      </c>
      <c r="T102" t="s">
        <v>2033</v>
      </c>
      <c r="U102" t="s">
        <v>2034</v>
      </c>
      <c r="V102" t="s">
        <v>2035</v>
      </c>
      <c r="W102" t="s">
        <v>2036</v>
      </c>
      <c r="X102" t="s">
        <v>2037</v>
      </c>
      <c r="Y102" t="s">
        <v>2038</v>
      </c>
      <c r="Z102" t="s">
        <v>2039</v>
      </c>
      <c r="AA102" t="s">
        <v>2040</v>
      </c>
      <c r="AB102" t="s">
        <v>2027</v>
      </c>
      <c r="AC102" t="s">
        <v>2041</v>
      </c>
      <c r="AD102" t="s">
        <v>2042</v>
      </c>
      <c r="AE102" t="s">
        <v>2043</v>
      </c>
      <c r="AF102" t="s">
        <v>2044</v>
      </c>
      <c r="AG102" t="s">
        <v>2045</v>
      </c>
      <c r="AH102" t="s">
        <v>2046</v>
      </c>
      <c r="AI102" t="s">
        <v>2047</v>
      </c>
      <c r="AJ102" t="s">
        <v>2048</v>
      </c>
      <c r="AK102" t="s">
        <v>2049</v>
      </c>
      <c r="AL102" t="s">
        <v>2050</v>
      </c>
      <c r="AM102" t="s">
        <v>2051</v>
      </c>
      <c r="AN102" t="s">
        <v>2052</v>
      </c>
      <c r="AO102" t="s">
        <v>2053</v>
      </c>
      <c r="AP102" t="s">
        <v>566</v>
      </c>
      <c r="AQ102" t="s">
        <v>2724</v>
      </c>
    </row>
    <row r="103" spans="1:43" x14ac:dyDescent="0.2">
      <c r="A103" s="50" t="s">
        <v>2523</v>
      </c>
      <c r="B103" t="s">
        <v>2523</v>
      </c>
      <c r="C103" t="s">
        <v>2524</v>
      </c>
      <c r="D103" t="s">
        <v>2523</v>
      </c>
      <c r="E103" t="s">
        <v>2523</v>
      </c>
      <c r="F103" t="s">
        <v>2525</v>
      </c>
      <c r="G103" t="s">
        <v>2523</v>
      </c>
      <c r="H103" t="s">
        <v>2526</v>
      </c>
      <c r="I103" t="s">
        <v>2527</v>
      </c>
      <c r="J103" t="s">
        <v>2523</v>
      </c>
      <c r="K103" t="s">
        <v>2523</v>
      </c>
      <c r="L103" t="s">
        <v>2523</v>
      </c>
      <c r="M103" t="s">
        <v>2523</v>
      </c>
      <c r="N103" t="s">
        <v>2523</v>
      </c>
      <c r="O103" t="s">
        <v>2528</v>
      </c>
      <c r="P103" t="s">
        <v>2523</v>
      </c>
      <c r="Q103" t="s">
        <v>2529</v>
      </c>
      <c r="R103" t="s">
        <v>2530</v>
      </c>
      <c r="S103" t="s">
        <v>2523</v>
      </c>
      <c r="T103" t="s">
        <v>2523</v>
      </c>
      <c r="U103" t="s">
        <v>2523</v>
      </c>
      <c r="V103" t="s">
        <v>2523</v>
      </c>
      <c r="W103" t="s">
        <v>2531</v>
      </c>
      <c r="X103" t="s">
        <v>2532</v>
      </c>
      <c r="Y103" t="s">
        <v>2533</v>
      </c>
      <c r="Z103" t="s">
        <v>2523</v>
      </c>
      <c r="AA103" t="s">
        <v>2523</v>
      </c>
      <c r="AB103" t="s">
        <v>2534</v>
      </c>
      <c r="AC103" t="s">
        <v>2523</v>
      </c>
      <c r="AD103" t="s">
        <v>2523</v>
      </c>
      <c r="AE103" t="s">
        <v>2523</v>
      </c>
      <c r="AF103" t="s">
        <v>2535</v>
      </c>
      <c r="AG103" t="s">
        <v>2533</v>
      </c>
      <c r="AH103" t="s">
        <v>2523</v>
      </c>
      <c r="AI103" t="s">
        <v>2523</v>
      </c>
      <c r="AJ103" t="s">
        <v>2523</v>
      </c>
      <c r="AK103" t="s">
        <v>2523</v>
      </c>
      <c r="AL103" t="s">
        <v>2523</v>
      </c>
      <c r="AM103" t="s">
        <v>2523</v>
      </c>
      <c r="AN103" t="s">
        <v>2523</v>
      </c>
      <c r="AO103" t="s">
        <v>2536</v>
      </c>
      <c r="AP103" t="s">
        <v>2537</v>
      </c>
      <c r="AQ103" t="s">
        <v>2713</v>
      </c>
    </row>
    <row r="104" spans="1:43" x14ac:dyDescent="0.2">
      <c r="A104" s="50" t="s">
        <v>2516</v>
      </c>
      <c r="B104" t="s">
        <v>2538</v>
      </c>
      <c r="C104" t="s">
        <v>2539</v>
      </c>
      <c r="D104" t="s">
        <v>2516</v>
      </c>
      <c r="E104" t="s">
        <v>2516</v>
      </c>
      <c r="F104" t="s">
        <v>2516</v>
      </c>
      <c r="G104" t="s">
        <v>2540</v>
      </c>
      <c r="H104" t="s">
        <v>2541</v>
      </c>
      <c r="I104" t="s">
        <v>2542</v>
      </c>
      <c r="J104" t="s">
        <v>2516</v>
      </c>
      <c r="K104" t="s">
        <v>2516</v>
      </c>
      <c r="L104" t="s">
        <v>2516</v>
      </c>
      <c r="M104" t="s">
        <v>2516</v>
      </c>
      <c r="N104" t="s">
        <v>2516</v>
      </c>
      <c r="O104" t="s">
        <v>2516</v>
      </c>
      <c r="P104" t="s">
        <v>2516</v>
      </c>
      <c r="Q104" t="s">
        <v>2543</v>
      </c>
      <c r="R104" t="s">
        <v>2544</v>
      </c>
      <c r="S104" t="s">
        <v>2516</v>
      </c>
      <c r="T104" t="s">
        <v>2516</v>
      </c>
      <c r="U104" t="s">
        <v>2516</v>
      </c>
      <c r="V104" t="s">
        <v>2516</v>
      </c>
      <c r="W104" t="s">
        <v>2545</v>
      </c>
      <c r="X104" t="s">
        <v>2516</v>
      </c>
      <c r="Y104" t="s">
        <v>2546</v>
      </c>
      <c r="Z104" t="s">
        <v>2516</v>
      </c>
      <c r="AA104" t="s">
        <v>2516</v>
      </c>
      <c r="AB104" t="s">
        <v>2547</v>
      </c>
      <c r="AC104" t="s">
        <v>2516</v>
      </c>
      <c r="AD104" t="s">
        <v>2540</v>
      </c>
      <c r="AE104" t="s">
        <v>2516</v>
      </c>
      <c r="AF104" t="s">
        <v>2548</v>
      </c>
      <c r="AG104" t="s">
        <v>2546</v>
      </c>
      <c r="AH104" t="s">
        <v>2516</v>
      </c>
      <c r="AI104" t="s">
        <v>2516</v>
      </c>
      <c r="AJ104" t="s">
        <v>2516</v>
      </c>
      <c r="AK104" t="s">
        <v>2516</v>
      </c>
      <c r="AL104" t="s">
        <v>2549</v>
      </c>
      <c r="AM104" t="s">
        <v>2516</v>
      </c>
      <c r="AN104" t="s">
        <v>2516</v>
      </c>
      <c r="AO104" t="s">
        <v>2550</v>
      </c>
      <c r="AP104" t="s">
        <v>2551</v>
      </c>
      <c r="AQ104" t="s">
        <v>2548</v>
      </c>
    </row>
    <row r="105" spans="1:43" x14ac:dyDescent="0.2">
      <c r="A105" s="50" t="s">
        <v>2519</v>
      </c>
      <c r="B105" t="s">
        <v>2519</v>
      </c>
      <c r="C105" t="s">
        <v>2552</v>
      </c>
      <c r="D105" t="s">
        <v>2519</v>
      </c>
      <c r="E105" t="s">
        <v>2519</v>
      </c>
      <c r="F105" t="s">
        <v>2519</v>
      </c>
      <c r="G105" t="s">
        <v>2519</v>
      </c>
      <c r="H105" t="s">
        <v>2553</v>
      </c>
      <c r="I105" t="s">
        <v>2554</v>
      </c>
      <c r="J105" t="s">
        <v>2519</v>
      </c>
      <c r="K105" t="s">
        <v>2519</v>
      </c>
      <c r="L105" t="s">
        <v>2519</v>
      </c>
      <c r="M105" t="s">
        <v>2519</v>
      </c>
      <c r="N105" t="s">
        <v>2519</v>
      </c>
      <c r="O105" t="s">
        <v>2555</v>
      </c>
      <c r="P105" t="s">
        <v>2519</v>
      </c>
      <c r="Q105" t="s">
        <v>2519</v>
      </c>
      <c r="R105" t="s">
        <v>2556</v>
      </c>
      <c r="S105" t="s">
        <v>2519</v>
      </c>
      <c r="T105" t="s">
        <v>2519</v>
      </c>
      <c r="U105" t="s">
        <v>2519</v>
      </c>
      <c r="V105" t="s">
        <v>2519</v>
      </c>
      <c r="W105" t="s">
        <v>2557</v>
      </c>
      <c r="X105" t="s">
        <v>2519</v>
      </c>
      <c r="Y105" t="s">
        <v>2519</v>
      </c>
      <c r="Z105" t="s">
        <v>2519</v>
      </c>
      <c r="AA105" t="s">
        <v>2519</v>
      </c>
      <c r="AB105" t="s">
        <v>2558</v>
      </c>
      <c r="AC105" t="s">
        <v>2559</v>
      </c>
      <c r="AD105" t="s">
        <v>2555</v>
      </c>
      <c r="AE105" t="s">
        <v>2519</v>
      </c>
      <c r="AF105" t="s">
        <v>2560</v>
      </c>
      <c r="AG105" t="s">
        <v>2561</v>
      </c>
      <c r="AH105" t="s">
        <v>2559</v>
      </c>
      <c r="AI105" t="s">
        <v>2519</v>
      </c>
      <c r="AJ105" t="s">
        <v>2519</v>
      </c>
      <c r="AK105" t="s">
        <v>2519</v>
      </c>
      <c r="AL105" t="s">
        <v>2562</v>
      </c>
      <c r="AM105" t="s">
        <v>2519</v>
      </c>
      <c r="AN105" t="s">
        <v>2519</v>
      </c>
      <c r="AO105" t="s">
        <v>2560</v>
      </c>
      <c r="AP105" t="s">
        <v>2563</v>
      </c>
      <c r="AQ105" t="s">
        <v>2560</v>
      </c>
    </row>
    <row r="106" spans="1:43" x14ac:dyDescent="0.2">
      <c r="A106" s="50" t="s">
        <v>2522</v>
      </c>
      <c r="B106" t="s">
        <v>2522</v>
      </c>
      <c r="C106" t="s">
        <v>2564</v>
      </c>
      <c r="D106" t="s">
        <v>2522</v>
      </c>
      <c r="E106" t="s">
        <v>2522</v>
      </c>
      <c r="F106" t="s">
        <v>2565</v>
      </c>
      <c r="G106" t="s">
        <v>2522</v>
      </c>
      <c r="H106" t="s">
        <v>2566</v>
      </c>
      <c r="I106" t="s">
        <v>2567</v>
      </c>
      <c r="J106" t="s">
        <v>2522</v>
      </c>
      <c r="K106" t="s">
        <v>2522</v>
      </c>
      <c r="L106" t="s">
        <v>2522</v>
      </c>
      <c r="M106" t="s">
        <v>2522</v>
      </c>
      <c r="N106" t="s">
        <v>2522</v>
      </c>
      <c r="O106" t="s">
        <v>2522</v>
      </c>
      <c r="P106" t="s">
        <v>2522</v>
      </c>
      <c r="Q106" t="s">
        <v>2522</v>
      </c>
      <c r="R106" t="s">
        <v>2568</v>
      </c>
      <c r="S106" t="s">
        <v>2522</v>
      </c>
      <c r="T106" t="s">
        <v>2522</v>
      </c>
      <c r="U106" t="s">
        <v>2522</v>
      </c>
      <c r="V106" t="s">
        <v>2522</v>
      </c>
      <c r="W106" t="s">
        <v>2569</v>
      </c>
      <c r="X106" t="s">
        <v>2570</v>
      </c>
      <c r="Y106" t="s">
        <v>2565</v>
      </c>
      <c r="Z106" t="s">
        <v>2522</v>
      </c>
      <c r="AA106" t="s">
        <v>2522</v>
      </c>
      <c r="AB106" t="s">
        <v>2571</v>
      </c>
      <c r="AC106" t="s">
        <v>2522</v>
      </c>
      <c r="AD106" t="s">
        <v>2522</v>
      </c>
      <c r="AE106" t="s">
        <v>2522</v>
      </c>
      <c r="AF106" t="s">
        <v>2565</v>
      </c>
      <c r="AG106" t="s">
        <v>2565</v>
      </c>
      <c r="AH106" t="s">
        <v>2572</v>
      </c>
      <c r="AI106" t="s">
        <v>2522</v>
      </c>
      <c r="AJ106" t="s">
        <v>2522</v>
      </c>
      <c r="AK106" t="s">
        <v>2522</v>
      </c>
      <c r="AL106" t="s">
        <v>2573</v>
      </c>
      <c r="AM106" t="s">
        <v>2522</v>
      </c>
      <c r="AN106" t="s">
        <v>2522</v>
      </c>
      <c r="AO106" t="s">
        <v>2574</v>
      </c>
      <c r="AP106" t="s">
        <v>2575</v>
      </c>
      <c r="AQ106" t="s">
        <v>2565</v>
      </c>
    </row>
    <row r="107" spans="1:43" x14ac:dyDescent="0.2">
      <c r="A107" s="50" t="s">
        <v>2514</v>
      </c>
      <c r="B107" t="s">
        <v>2514</v>
      </c>
      <c r="C107" t="s">
        <v>2576</v>
      </c>
      <c r="D107" t="s">
        <v>2514</v>
      </c>
      <c r="E107" t="s">
        <v>2514</v>
      </c>
      <c r="F107" t="s">
        <v>2577</v>
      </c>
      <c r="G107" t="s">
        <v>2578</v>
      </c>
      <c r="H107" t="s">
        <v>2579</v>
      </c>
      <c r="I107" t="s">
        <v>2580</v>
      </c>
      <c r="J107" t="s">
        <v>2514</v>
      </c>
      <c r="K107" t="s">
        <v>2514</v>
      </c>
      <c r="L107" t="s">
        <v>2514</v>
      </c>
      <c r="M107" t="s">
        <v>2514</v>
      </c>
      <c r="N107" t="s">
        <v>2514</v>
      </c>
      <c r="O107" t="s">
        <v>2514</v>
      </c>
      <c r="P107" t="s">
        <v>2514</v>
      </c>
      <c r="Q107" t="s">
        <v>2514</v>
      </c>
      <c r="R107" t="s">
        <v>2581</v>
      </c>
      <c r="S107" t="s">
        <v>2514</v>
      </c>
      <c r="T107" t="s">
        <v>2514</v>
      </c>
      <c r="U107" t="s">
        <v>2514</v>
      </c>
      <c r="V107" t="s">
        <v>2514</v>
      </c>
      <c r="W107" t="s">
        <v>2582</v>
      </c>
      <c r="X107" t="s">
        <v>2514</v>
      </c>
      <c r="Y107" t="s">
        <v>2577</v>
      </c>
      <c r="Z107" t="s">
        <v>2514</v>
      </c>
      <c r="AA107" t="s">
        <v>2514</v>
      </c>
      <c r="AB107" t="s">
        <v>2583</v>
      </c>
      <c r="AC107" t="s">
        <v>2514</v>
      </c>
      <c r="AD107" t="s">
        <v>2514</v>
      </c>
      <c r="AE107" t="s">
        <v>2514</v>
      </c>
      <c r="AF107" t="s">
        <v>2577</v>
      </c>
      <c r="AG107" t="s">
        <v>2577</v>
      </c>
      <c r="AH107" t="s">
        <v>2584</v>
      </c>
      <c r="AI107" t="s">
        <v>2514</v>
      </c>
      <c r="AJ107" t="s">
        <v>2514</v>
      </c>
      <c r="AK107" t="s">
        <v>2514</v>
      </c>
      <c r="AL107" t="s">
        <v>2585</v>
      </c>
      <c r="AM107" t="s">
        <v>2514</v>
      </c>
      <c r="AN107" t="s">
        <v>2514</v>
      </c>
      <c r="AO107" t="s">
        <v>2577</v>
      </c>
      <c r="AP107" t="s">
        <v>2586</v>
      </c>
      <c r="AQ107" t="s">
        <v>2577</v>
      </c>
    </row>
    <row r="108" spans="1:43" x14ac:dyDescent="0.2">
      <c r="A108" s="50" t="s">
        <v>2515</v>
      </c>
      <c r="B108" t="s">
        <v>2515</v>
      </c>
      <c r="C108" t="s">
        <v>2587</v>
      </c>
      <c r="D108" t="s">
        <v>2515</v>
      </c>
      <c r="E108" t="s">
        <v>2515</v>
      </c>
      <c r="F108" t="s">
        <v>2515</v>
      </c>
      <c r="G108" t="s">
        <v>2515</v>
      </c>
      <c r="H108" t="s">
        <v>2588</v>
      </c>
      <c r="I108" t="s">
        <v>2589</v>
      </c>
      <c r="J108" t="s">
        <v>2515</v>
      </c>
      <c r="K108" t="s">
        <v>2515</v>
      </c>
      <c r="L108" t="s">
        <v>2515</v>
      </c>
      <c r="M108" t="s">
        <v>2515</v>
      </c>
      <c r="N108" t="s">
        <v>2515</v>
      </c>
      <c r="O108" t="s">
        <v>2515</v>
      </c>
      <c r="P108" t="s">
        <v>2515</v>
      </c>
      <c r="Q108" t="s">
        <v>2515</v>
      </c>
      <c r="R108" t="s">
        <v>2590</v>
      </c>
      <c r="S108" t="s">
        <v>2515</v>
      </c>
      <c r="T108" t="s">
        <v>2515</v>
      </c>
      <c r="U108" t="s">
        <v>2515</v>
      </c>
      <c r="V108" t="s">
        <v>2515</v>
      </c>
      <c r="W108" t="s">
        <v>2591</v>
      </c>
      <c r="X108" t="s">
        <v>2592</v>
      </c>
      <c r="Y108" t="s">
        <v>2593</v>
      </c>
      <c r="Z108" t="s">
        <v>2515</v>
      </c>
      <c r="AA108" t="s">
        <v>2515</v>
      </c>
      <c r="AB108" t="s">
        <v>2594</v>
      </c>
      <c r="AC108" t="s">
        <v>2515</v>
      </c>
      <c r="AD108" t="s">
        <v>2515</v>
      </c>
      <c r="AE108" t="s">
        <v>2515</v>
      </c>
      <c r="AF108" t="s">
        <v>2593</v>
      </c>
      <c r="AG108" t="s">
        <v>2593</v>
      </c>
      <c r="AH108" t="s">
        <v>2515</v>
      </c>
      <c r="AI108" t="s">
        <v>2515</v>
      </c>
      <c r="AJ108" t="s">
        <v>2515</v>
      </c>
      <c r="AK108" t="s">
        <v>2515</v>
      </c>
      <c r="AL108" t="s">
        <v>2595</v>
      </c>
      <c r="AM108" t="s">
        <v>2515</v>
      </c>
      <c r="AN108" t="s">
        <v>2515</v>
      </c>
      <c r="AO108" t="s">
        <v>2593</v>
      </c>
      <c r="AP108" t="s">
        <v>2596</v>
      </c>
      <c r="AQ108" t="s">
        <v>2593</v>
      </c>
    </row>
    <row r="109" spans="1:43" x14ac:dyDescent="0.2">
      <c r="A109" s="50" t="s">
        <v>2513</v>
      </c>
      <c r="B109" t="s">
        <v>2597</v>
      </c>
      <c r="C109" t="s">
        <v>2598</v>
      </c>
      <c r="D109" t="s">
        <v>2599</v>
      </c>
      <c r="E109" t="s">
        <v>2513</v>
      </c>
      <c r="F109" t="s">
        <v>2600</v>
      </c>
      <c r="G109" t="s">
        <v>2601</v>
      </c>
      <c r="H109" t="s">
        <v>2602</v>
      </c>
      <c r="I109" t="s">
        <v>2603</v>
      </c>
      <c r="J109" t="s">
        <v>2604</v>
      </c>
      <c r="K109" t="s">
        <v>2605</v>
      </c>
      <c r="L109" t="s">
        <v>2513</v>
      </c>
      <c r="M109" t="s">
        <v>2601</v>
      </c>
      <c r="N109" t="s">
        <v>2601</v>
      </c>
      <c r="O109" t="s">
        <v>2513</v>
      </c>
      <c r="P109" t="s">
        <v>2606</v>
      </c>
      <c r="Q109" t="s">
        <v>2607</v>
      </c>
      <c r="R109" t="s">
        <v>2608</v>
      </c>
      <c r="S109" t="s">
        <v>2609</v>
      </c>
      <c r="T109" t="s">
        <v>2513</v>
      </c>
      <c r="U109" t="s">
        <v>2513</v>
      </c>
      <c r="V109" t="s">
        <v>2610</v>
      </c>
      <c r="W109" t="s">
        <v>2611</v>
      </c>
      <c r="X109" t="s">
        <v>2612</v>
      </c>
      <c r="Y109" t="s">
        <v>2613</v>
      </c>
      <c r="Z109" t="s">
        <v>2513</v>
      </c>
      <c r="AA109" t="s">
        <v>2513</v>
      </c>
      <c r="AB109" t="s">
        <v>2614</v>
      </c>
      <c r="AC109" t="s">
        <v>2615</v>
      </c>
      <c r="AD109" t="s">
        <v>2601</v>
      </c>
      <c r="AE109" t="s">
        <v>2601</v>
      </c>
      <c r="AF109" t="s">
        <v>2616</v>
      </c>
      <c r="AG109" t="s">
        <v>2617</v>
      </c>
      <c r="AH109" t="s">
        <v>2605</v>
      </c>
      <c r="AI109" t="s">
        <v>2513</v>
      </c>
      <c r="AJ109" t="s">
        <v>2601</v>
      </c>
      <c r="AK109" t="s">
        <v>2513</v>
      </c>
      <c r="AL109" t="s">
        <v>2618</v>
      </c>
      <c r="AM109" t="s">
        <v>2619</v>
      </c>
      <c r="AN109" t="s">
        <v>2620</v>
      </c>
      <c r="AO109" t="s">
        <v>2621</v>
      </c>
      <c r="AP109" t="s">
        <v>2622</v>
      </c>
      <c r="AQ109" t="s">
        <v>2714</v>
      </c>
    </row>
    <row r="110" spans="1:43" x14ac:dyDescent="0.2">
      <c r="A110" s="50" t="s">
        <v>2521</v>
      </c>
      <c r="B110" t="s">
        <v>2521</v>
      </c>
      <c r="C110" t="s">
        <v>2623</v>
      </c>
      <c r="D110" t="s">
        <v>2521</v>
      </c>
      <c r="E110" t="s">
        <v>2521</v>
      </c>
      <c r="F110" t="s">
        <v>2521</v>
      </c>
      <c r="G110" t="s">
        <v>2521</v>
      </c>
      <c r="H110" t="s">
        <v>2624</v>
      </c>
      <c r="I110" t="s">
        <v>2624</v>
      </c>
      <c r="J110" t="s">
        <v>2521</v>
      </c>
      <c r="K110" t="s">
        <v>2521</v>
      </c>
      <c r="L110" t="s">
        <v>2521</v>
      </c>
      <c r="M110" t="s">
        <v>2521</v>
      </c>
      <c r="N110" t="s">
        <v>2521</v>
      </c>
      <c r="O110" t="s">
        <v>2521</v>
      </c>
      <c r="P110" t="s">
        <v>2521</v>
      </c>
      <c r="Q110" t="s">
        <v>2625</v>
      </c>
      <c r="R110" t="s">
        <v>2626</v>
      </c>
      <c r="S110" t="s">
        <v>2521</v>
      </c>
      <c r="T110" t="s">
        <v>2521</v>
      </c>
      <c r="U110" t="s">
        <v>2521</v>
      </c>
      <c r="V110" t="s">
        <v>2521</v>
      </c>
      <c r="W110" t="s">
        <v>2627</v>
      </c>
      <c r="X110" t="s">
        <v>2628</v>
      </c>
      <c r="Y110" t="s">
        <v>2629</v>
      </c>
      <c r="Z110" t="s">
        <v>2521</v>
      </c>
      <c r="AA110" t="s">
        <v>2521</v>
      </c>
      <c r="AB110" t="s">
        <v>2630</v>
      </c>
      <c r="AC110" t="s">
        <v>2521</v>
      </c>
      <c r="AD110" t="s">
        <v>2521</v>
      </c>
      <c r="AE110" t="s">
        <v>2521</v>
      </c>
      <c r="AF110" t="s">
        <v>2631</v>
      </c>
      <c r="AG110" t="s">
        <v>2629</v>
      </c>
      <c r="AH110" t="s">
        <v>2521</v>
      </c>
      <c r="AI110" t="s">
        <v>2521</v>
      </c>
      <c r="AJ110" t="s">
        <v>2521</v>
      </c>
      <c r="AK110" t="s">
        <v>2521</v>
      </c>
      <c r="AL110" t="s">
        <v>2632</v>
      </c>
      <c r="AM110" t="s">
        <v>2521</v>
      </c>
      <c r="AN110" t="s">
        <v>2521</v>
      </c>
      <c r="AO110" t="s">
        <v>2633</v>
      </c>
      <c r="AP110" t="s">
        <v>2634</v>
      </c>
      <c r="AQ110" t="s">
        <v>2715</v>
      </c>
    </row>
    <row r="111" spans="1:43" x14ac:dyDescent="0.2">
      <c r="A111" s="50" t="s">
        <v>2517</v>
      </c>
      <c r="B111" t="s">
        <v>2517</v>
      </c>
      <c r="C111" t="s">
        <v>2635</v>
      </c>
      <c r="D111" t="s">
        <v>2517</v>
      </c>
      <c r="E111" t="s">
        <v>2517</v>
      </c>
      <c r="F111" t="s">
        <v>2636</v>
      </c>
      <c r="G111" t="s">
        <v>2517</v>
      </c>
      <c r="H111" t="s">
        <v>2637</v>
      </c>
      <c r="I111" t="s">
        <v>2637</v>
      </c>
      <c r="J111" t="s">
        <v>2517</v>
      </c>
      <c r="K111" t="s">
        <v>2517</v>
      </c>
      <c r="L111" t="s">
        <v>2517</v>
      </c>
      <c r="M111" t="s">
        <v>2517</v>
      </c>
      <c r="N111" t="s">
        <v>2517</v>
      </c>
      <c r="O111" t="s">
        <v>2517</v>
      </c>
      <c r="P111" t="s">
        <v>2517</v>
      </c>
      <c r="Q111" t="s">
        <v>2638</v>
      </c>
      <c r="R111" t="s">
        <v>2639</v>
      </c>
      <c r="S111" t="s">
        <v>2517</v>
      </c>
      <c r="T111" t="s">
        <v>2517</v>
      </c>
      <c r="U111" t="s">
        <v>2517</v>
      </c>
      <c r="V111" t="s">
        <v>2517</v>
      </c>
      <c r="W111" t="s">
        <v>2640</v>
      </c>
      <c r="X111" t="s">
        <v>2641</v>
      </c>
      <c r="Y111" t="s">
        <v>2636</v>
      </c>
      <c r="Z111" t="s">
        <v>2517</v>
      </c>
      <c r="AA111" t="s">
        <v>2517</v>
      </c>
      <c r="AB111" t="s">
        <v>2642</v>
      </c>
      <c r="AC111" t="s">
        <v>2517</v>
      </c>
      <c r="AD111" t="s">
        <v>2517</v>
      </c>
      <c r="AE111" t="s">
        <v>2517</v>
      </c>
      <c r="AF111" t="s">
        <v>2643</v>
      </c>
      <c r="AG111" t="s">
        <v>2636</v>
      </c>
      <c r="AH111" t="s">
        <v>2517</v>
      </c>
      <c r="AI111" t="s">
        <v>2517</v>
      </c>
      <c r="AJ111" t="s">
        <v>2517</v>
      </c>
      <c r="AK111" t="s">
        <v>2517</v>
      </c>
      <c r="AL111" t="s">
        <v>2644</v>
      </c>
      <c r="AM111" t="s">
        <v>2517</v>
      </c>
      <c r="AN111" t="s">
        <v>2517</v>
      </c>
      <c r="AO111" t="s">
        <v>2645</v>
      </c>
      <c r="AP111" t="s">
        <v>2646</v>
      </c>
      <c r="AQ111" t="s">
        <v>2643</v>
      </c>
    </row>
    <row r="112" spans="1:43" x14ac:dyDescent="0.2">
      <c r="A112" s="50" t="s">
        <v>2520</v>
      </c>
      <c r="B112" t="s">
        <v>2520</v>
      </c>
      <c r="C112" t="s">
        <v>2647</v>
      </c>
      <c r="D112" t="s">
        <v>2520</v>
      </c>
      <c r="E112" t="s">
        <v>2520</v>
      </c>
      <c r="F112" t="s">
        <v>2520</v>
      </c>
      <c r="G112" t="s">
        <v>2520</v>
      </c>
      <c r="H112" t="s">
        <v>2648</v>
      </c>
      <c r="I112" t="s">
        <v>2649</v>
      </c>
      <c r="J112" t="s">
        <v>2520</v>
      </c>
      <c r="K112" t="s">
        <v>2520</v>
      </c>
      <c r="L112" t="s">
        <v>2520</v>
      </c>
      <c r="M112" t="s">
        <v>2520</v>
      </c>
      <c r="N112" t="s">
        <v>2520</v>
      </c>
      <c r="O112" t="s">
        <v>2520</v>
      </c>
      <c r="P112" t="s">
        <v>2520</v>
      </c>
      <c r="Q112" t="s">
        <v>2650</v>
      </c>
      <c r="R112" t="s">
        <v>2651</v>
      </c>
      <c r="S112" t="s">
        <v>2520</v>
      </c>
      <c r="T112" t="s">
        <v>2520</v>
      </c>
      <c r="U112" t="s">
        <v>2520</v>
      </c>
      <c r="V112" t="s">
        <v>2520</v>
      </c>
      <c r="W112" t="s">
        <v>2652</v>
      </c>
      <c r="X112" t="s">
        <v>2653</v>
      </c>
      <c r="Y112" t="s">
        <v>2654</v>
      </c>
      <c r="Z112" t="s">
        <v>2520</v>
      </c>
      <c r="AA112" t="s">
        <v>2520</v>
      </c>
      <c r="AB112" t="s">
        <v>2655</v>
      </c>
      <c r="AC112" t="s">
        <v>2656</v>
      </c>
      <c r="AD112" t="s">
        <v>2520</v>
      </c>
      <c r="AE112" t="s">
        <v>2520</v>
      </c>
      <c r="AF112" t="s">
        <v>2657</v>
      </c>
      <c r="AG112" t="s">
        <v>2654</v>
      </c>
      <c r="AH112" t="s">
        <v>2520</v>
      </c>
      <c r="AI112" t="s">
        <v>2520</v>
      </c>
      <c r="AJ112" t="s">
        <v>2520</v>
      </c>
      <c r="AK112" t="s">
        <v>2520</v>
      </c>
      <c r="AL112" t="s">
        <v>2658</v>
      </c>
      <c r="AM112" t="s">
        <v>2520</v>
      </c>
      <c r="AN112" t="s">
        <v>2520</v>
      </c>
      <c r="AO112" t="s">
        <v>2659</v>
      </c>
      <c r="AP112" t="s">
        <v>2660</v>
      </c>
      <c r="AQ112" t="s">
        <v>2716</v>
      </c>
    </row>
    <row r="113" spans="1:43" x14ac:dyDescent="0.2">
      <c r="A113" s="50" t="s">
        <v>2518</v>
      </c>
      <c r="B113" t="s">
        <v>2518</v>
      </c>
      <c r="C113" t="s">
        <v>2661</v>
      </c>
      <c r="D113" t="s">
        <v>2518</v>
      </c>
      <c r="E113" t="s">
        <v>2518</v>
      </c>
      <c r="F113" t="s">
        <v>2518</v>
      </c>
      <c r="G113" t="s">
        <v>2518</v>
      </c>
      <c r="H113" t="s">
        <v>2662</v>
      </c>
      <c r="I113" t="s">
        <v>2663</v>
      </c>
      <c r="J113" t="s">
        <v>2518</v>
      </c>
      <c r="K113" t="s">
        <v>2518</v>
      </c>
      <c r="L113" t="s">
        <v>2518</v>
      </c>
      <c r="M113" t="s">
        <v>2518</v>
      </c>
      <c r="N113" t="s">
        <v>2518</v>
      </c>
      <c r="O113" t="s">
        <v>2518</v>
      </c>
      <c r="P113" t="s">
        <v>2518</v>
      </c>
      <c r="Q113" t="s">
        <v>2664</v>
      </c>
      <c r="R113" t="s">
        <v>2665</v>
      </c>
      <c r="S113" t="s">
        <v>2518</v>
      </c>
      <c r="T113" t="s">
        <v>2518</v>
      </c>
      <c r="U113" t="s">
        <v>2518</v>
      </c>
      <c r="V113" t="s">
        <v>2518</v>
      </c>
      <c r="W113" t="s">
        <v>2666</v>
      </c>
      <c r="X113" t="s">
        <v>2667</v>
      </c>
      <c r="Y113" t="s">
        <v>2668</v>
      </c>
      <c r="Z113" t="s">
        <v>2518</v>
      </c>
      <c r="AA113" t="s">
        <v>2518</v>
      </c>
      <c r="AB113" t="s">
        <v>2669</v>
      </c>
      <c r="AC113" t="s">
        <v>2518</v>
      </c>
      <c r="AD113" t="s">
        <v>2518</v>
      </c>
      <c r="AE113" t="s">
        <v>2518</v>
      </c>
      <c r="AF113" t="s">
        <v>2670</v>
      </c>
      <c r="AG113" t="s">
        <v>2668</v>
      </c>
      <c r="AH113" t="s">
        <v>2671</v>
      </c>
      <c r="AI113" t="s">
        <v>2518</v>
      </c>
      <c r="AJ113" t="s">
        <v>2518</v>
      </c>
      <c r="AK113" t="s">
        <v>2518</v>
      </c>
      <c r="AL113" t="s">
        <v>2672</v>
      </c>
      <c r="AM113" t="s">
        <v>2518</v>
      </c>
      <c r="AN113" t="s">
        <v>2518</v>
      </c>
      <c r="AO113" t="s">
        <v>2670</v>
      </c>
      <c r="AP113" t="s">
        <v>2673</v>
      </c>
      <c r="AQ113" t="s">
        <v>2670</v>
      </c>
    </row>
    <row r="114" spans="1:43" x14ac:dyDescent="0.2">
      <c r="A114" s="50" t="s">
        <v>2512</v>
      </c>
      <c r="B114" t="s">
        <v>2512</v>
      </c>
      <c r="C114" t="s">
        <v>2674</v>
      </c>
      <c r="D114" t="s">
        <v>2512</v>
      </c>
      <c r="E114" t="s">
        <v>2512</v>
      </c>
      <c r="F114" t="s">
        <v>2512</v>
      </c>
      <c r="G114" t="s">
        <v>2512</v>
      </c>
      <c r="H114" t="s">
        <v>2675</v>
      </c>
      <c r="I114" t="s">
        <v>2676</v>
      </c>
      <c r="J114" t="s">
        <v>2512</v>
      </c>
      <c r="K114" t="s">
        <v>2512</v>
      </c>
      <c r="L114" t="s">
        <v>2512</v>
      </c>
      <c r="M114" t="s">
        <v>2512</v>
      </c>
      <c r="N114" t="s">
        <v>2512</v>
      </c>
      <c r="O114" t="s">
        <v>2512</v>
      </c>
      <c r="P114" t="s">
        <v>2512</v>
      </c>
      <c r="Q114" t="s">
        <v>2677</v>
      </c>
      <c r="R114" t="s">
        <v>2678</v>
      </c>
      <c r="S114" t="s">
        <v>2512</v>
      </c>
      <c r="T114" t="s">
        <v>2512</v>
      </c>
      <c r="U114" t="s">
        <v>2512</v>
      </c>
      <c r="V114" t="s">
        <v>2512</v>
      </c>
      <c r="W114" t="s">
        <v>2679</v>
      </c>
      <c r="X114" t="s">
        <v>2680</v>
      </c>
      <c r="Y114" t="s">
        <v>2681</v>
      </c>
      <c r="Z114" t="s">
        <v>2512</v>
      </c>
      <c r="AA114" t="s">
        <v>2512</v>
      </c>
      <c r="AB114" t="s">
        <v>2682</v>
      </c>
      <c r="AC114" t="s">
        <v>2512</v>
      </c>
      <c r="AD114" t="s">
        <v>2683</v>
      </c>
      <c r="AE114" t="s">
        <v>2512</v>
      </c>
      <c r="AF114" t="s">
        <v>2684</v>
      </c>
      <c r="AG114" t="s">
        <v>2681</v>
      </c>
      <c r="AH114" t="s">
        <v>2685</v>
      </c>
      <c r="AI114" t="s">
        <v>2512</v>
      </c>
      <c r="AJ114" t="s">
        <v>2512</v>
      </c>
      <c r="AK114" t="s">
        <v>2512</v>
      </c>
      <c r="AL114" t="s">
        <v>2686</v>
      </c>
      <c r="AM114" t="s">
        <v>2512</v>
      </c>
      <c r="AN114" t="s">
        <v>2512</v>
      </c>
      <c r="AO114" t="s">
        <v>2687</v>
      </c>
      <c r="AP114" t="s">
        <v>2688</v>
      </c>
      <c r="AQ114" t="s">
        <v>2684</v>
      </c>
    </row>
    <row r="115" spans="1:43" x14ac:dyDescent="0.2">
      <c r="A115" t="s">
        <v>2083</v>
      </c>
      <c r="B115" t="s">
        <v>2084</v>
      </c>
      <c r="C115" t="s">
        <v>2085</v>
      </c>
      <c r="D115" t="s">
        <v>2086</v>
      </c>
      <c r="E115" t="s">
        <v>2087</v>
      </c>
      <c r="F115" t="s">
        <v>2088</v>
      </c>
      <c r="G115" t="s">
        <v>2089</v>
      </c>
      <c r="H115" t="s">
        <v>2090</v>
      </c>
      <c r="I115" t="s">
        <v>2091</v>
      </c>
      <c r="J115" t="s">
        <v>2092</v>
      </c>
      <c r="K115" t="s">
        <v>2093</v>
      </c>
      <c r="L115" t="s">
        <v>2094</v>
      </c>
      <c r="M115" t="s">
        <v>2095</v>
      </c>
      <c r="N115" t="s">
        <v>2096</v>
      </c>
      <c r="O115" t="s">
        <v>2097</v>
      </c>
      <c r="P115" t="s">
        <v>2098</v>
      </c>
      <c r="Q115" t="s">
        <v>2099</v>
      </c>
      <c r="R115" t="s">
        <v>2100</v>
      </c>
      <c r="S115" t="s">
        <v>2101</v>
      </c>
      <c r="T115" t="s">
        <v>2102</v>
      </c>
      <c r="U115" t="s">
        <v>2103</v>
      </c>
      <c r="V115" t="s">
        <v>2104</v>
      </c>
      <c r="W115" t="s">
        <v>2105</v>
      </c>
      <c r="X115" t="s">
        <v>2106</v>
      </c>
      <c r="Y115" t="s">
        <v>2107</v>
      </c>
      <c r="Z115" t="s">
        <v>2108</v>
      </c>
      <c r="AA115" t="s">
        <v>2109</v>
      </c>
      <c r="AB115" t="s">
        <v>2110</v>
      </c>
      <c r="AC115" t="s">
        <v>2111</v>
      </c>
      <c r="AD115" t="s">
        <v>2112</v>
      </c>
      <c r="AE115" t="s">
        <v>2113</v>
      </c>
      <c r="AF115" t="s">
        <v>2114</v>
      </c>
      <c r="AG115" t="s">
        <v>2115</v>
      </c>
      <c r="AH115" t="s">
        <v>2116</v>
      </c>
      <c r="AI115" t="s">
        <v>2117</v>
      </c>
      <c r="AJ115" t="s">
        <v>2118</v>
      </c>
      <c r="AK115" t="s">
        <v>2119</v>
      </c>
      <c r="AL115" t="s">
        <v>2120</v>
      </c>
      <c r="AM115" t="s">
        <v>2121</v>
      </c>
      <c r="AN115" t="s">
        <v>2122</v>
      </c>
      <c r="AO115" t="s">
        <v>2123</v>
      </c>
      <c r="AP115" t="s">
        <v>2124</v>
      </c>
    </row>
  </sheetData>
  <sheetProtection password="A0A2" sheet="1" objects="1" scenarios="1"/>
  <sortState ref="A103:A114">
    <sortCondition ref="A103:A114"/>
  </sortState>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P47"/>
  <sheetViews>
    <sheetView showGridLines="0" workbookViewId="0">
      <selection activeCell="G7" sqref="G7"/>
    </sheetView>
  </sheetViews>
  <sheetFormatPr defaultRowHeight="12.75" x14ac:dyDescent="0.2"/>
  <cols>
    <col min="1" max="1" width="1.85546875" style="7" customWidth="1"/>
    <col min="2" max="2" width="21.85546875" style="7" customWidth="1"/>
    <col min="3" max="3" width="19.42578125" style="8" customWidth="1"/>
    <col min="4" max="4" width="2.5703125" style="7" customWidth="1"/>
    <col min="5" max="5" width="2.140625" style="7" customWidth="1"/>
    <col min="6" max="6" width="16.28515625" style="42" customWidth="1"/>
    <col min="7" max="7" width="28.5703125" style="42" customWidth="1"/>
    <col min="8" max="8" width="2.5703125" style="42" customWidth="1"/>
    <col min="9" max="16" width="9.140625" style="42"/>
    <col min="17" max="16384" width="9.140625" style="7"/>
  </cols>
  <sheetData>
    <row r="2" spans="2:8" ht="16.5" thickBot="1" x14ac:dyDescent="0.3">
      <c r="B2" s="9" t="s">
        <v>2733</v>
      </c>
      <c r="C2" s="10"/>
      <c r="D2" s="11"/>
      <c r="F2" s="9" t="s">
        <v>2743</v>
      </c>
      <c r="G2" s="10"/>
      <c r="H2" s="11"/>
    </row>
    <row r="3" spans="2:8" x14ac:dyDescent="0.2">
      <c r="B3" s="12"/>
      <c r="C3" s="13"/>
      <c r="D3" s="14"/>
      <c r="F3" s="12"/>
      <c r="G3" s="13"/>
      <c r="H3" s="14"/>
    </row>
    <row r="4" spans="2:8" x14ac:dyDescent="0.2">
      <c r="B4" s="125" t="s">
        <v>2726</v>
      </c>
      <c r="C4" s="71" t="s">
        <v>2717</v>
      </c>
      <c r="D4" s="14"/>
      <c r="F4" s="12"/>
      <c r="G4" s="49"/>
      <c r="H4" s="14"/>
    </row>
    <row r="5" spans="2:8" x14ac:dyDescent="0.2">
      <c r="B5" s="12"/>
      <c r="C5" s="13"/>
      <c r="D5" s="14"/>
      <c r="F5" s="129" t="s">
        <v>2734</v>
      </c>
      <c r="G5" s="126" t="s">
        <v>2699</v>
      </c>
      <c r="H5" s="14"/>
    </row>
    <row r="6" spans="2:8" x14ac:dyDescent="0.2">
      <c r="B6" s="125" t="s">
        <v>2727</v>
      </c>
      <c r="C6" s="20" t="s">
        <v>2719</v>
      </c>
      <c r="D6" s="14"/>
      <c r="F6" s="129" t="s">
        <v>2735</v>
      </c>
      <c r="G6" s="127" t="s">
        <v>2725</v>
      </c>
      <c r="H6" s="14"/>
    </row>
    <row r="7" spans="2:8" x14ac:dyDescent="0.2">
      <c r="B7" s="12"/>
      <c r="C7" s="13"/>
      <c r="D7" s="14"/>
      <c r="F7" s="129" t="s">
        <v>2736</v>
      </c>
      <c r="G7" s="127" t="s">
        <v>2730</v>
      </c>
      <c r="H7" s="14"/>
    </row>
    <row r="8" spans="2:8" x14ac:dyDescent="0.2">
      <c r="B8" s="125" t="s">
        <v>2728</v>
      </c>
      <c r="C8" s="51" t="s">
        <v>887</v>
      </c>
      <c r="D8" s="14"/>
      <c r="F8" s="129" t="s">
        <v>2737</v>
      </c>
      <c r="G8" s="127" t="s">
        <v>2731</v>
      </c>
      <c r="H8" s="14"/>
    </row>
    <row r="9" spans="2:8" x14ac:dyDescent="0.2">
      <c r="B9" s="12"/>
      <c r="C9" s="13"/>
      <c r="D9" s="14"/>
      <c r="F9" s="129" t="s">
        <v>2738</v>
      </c>
      <c r="G9" s="128" t="s">
        <v>2732</v>
      </c>
      <c r="H9" s="14"/>
    </row>
    <row r="10" spans="2:8" x14ac:dyDescent="0.2">
      <c r="B10" s="125" t="s">
        <v>2729</v>
      </c>
      <c r="C10" s="15" t="s">
        <v>872</v>
      </c>
      <c r="D10" s="14"/>
      <c r="F10" s="12"/>
      <c r="G10" s="43"/>
      <c r="H10" s="14"/>
    </row>
    <row r="11" spans="2:8" x14ac:dyDescent="0.2">
      <c r="B11" s="16"/>
      <c r="C11" s="17"/>
      <c r="D11" s="18"/>
      <c r="F11" s="16"/>
      <c r="G11" s="17"/>
      <c r="H11" s="18"/>
    </row>
    <row r="12" spans="2:8" x14ac:dyDescent="0.2">
      <c r="B12" s="19"/>
      <c r="C12" s="19"/>
      <c r="D12" s="19"/>
      <c r="E12" s="19"/>
    </row>
    <row r="13" spans="2:8" x14ac:dyDescent="0.2">
      <c r="B13" s="34"/>
      <c r="C13" s="35"/>
      <c r="D13" s="36"/>
      <c r="F13" s="45" t="s">
        <v>898</v>
      </c>
      <c r="G13" s="45">
        <f>IF(ISERROR(MATCH(C4,lang_list,0)),1,MATCH(C4,lang_list,0))</f>
        <v>43</v>
      </c>
      <c r="H13" s="46"/>
    </row>
    <row r="14" spans="2:8" ht="16.5" thickBot="1" x14ac:dyDescent="0.3">
      <c r="B14" s="12"/>
      <c r="C14" s="38" t="s">
        <v>2739</v>
      </c>
      <c r="D14" s="14"/>
      <c r="F14" s="45" t="s">
        <v>899</v>
      </c>
      <c r="G14" s="47">
        <f>TIME(VLOOKUP(C8,F16:G39,2,FALSE),VLOOKUP(C10,F41:G44,2,FALSE),0)+IF(C6="Yes",TIME(1,0,0),0)</f>
        <v>0.66666666666666663</v>
      </c>
      <c r="H14" s="46"/>
    </row>
    <row r="15" spans="2:8" x14ac:dyDescent="0.2">
      <c r="B15" s="37" t="str">
        <f>INDEX(T,66,lang)</f>
        <v>Испания</v>
      </c>
      <c r="C15" s="39">
        <v>1460</v>
      </c>
      <c r="D15" s="14"/>
      <c r="F15" s="45"/>
      <c r="G15" s="45"/>
      <c r="H15" s="46"/>
    </row>
    <row r="16" spans="2:8" x14ac:dyDescent="0.2">
      <c r="B16" s="37" t="str">
        <f>INDEX(T,50,lang)</f>
        <v>Германия</v>
      </c>
      <c r="C16" s="40">
        <v>1340</v>
      </c>
      <c r="D16" s="14"/>
      <c r="F16" s="45" t="s">
        <v>873</v>
      </c>
      <c r="G16" s="45">
        <v>0</v>
      </c>
      <c r="H16" s="46"/>
    </row>
    <row r="17" spans="2:8" x14ac:dyDescent="0.2">
      <c r="B17" s="37" t="str">
        <f>INDEX(T,65,lang)</f>
        <v>Португалия</v>
      </c>
      <c r="C17" s="40">
        <v>1245</v>
      </c>
      <c r="D17" s="14"/>
      <c r="F17" s="45" t="s">
        <v>874</v>
      </c>
      <c r="G17" s="45">
        <v>1</v>
      </c>
      <c r="H17" s="46"/>
    </row>
    <row r="18" spans="2:8" x14ac:dyDescent="0.2">
      <c r="B18" s="37" t="str">
        <f>INDEX(T,62,lang)</f>
        <v>Бразилия</v>
      </c>
      <c r="C18" s="40">
        <v>1210</v>
      </c>
      <c r="D18" s="14"/>
      <c r="F18" s="45" t="s">
        <v>875</v>
      </c>
      <c r="G18" s="45">
        <v>2</v>
      </c>
      <c r="H18" s="46"/>
    </row>
    <row r="19" spans="2:8" x14ac:dyDescent="0.2">
      <c r="B19" s="37" t="str">
        <f>INDEX(T,52,lang)</f>
        <v>Колумбия</v>
      </c>
      <c r="C19" s="40">
        <v>1186</v>
      </c>
      <c r="D19" s="14"/>
      <c r="F19" s="45" t="s">
        <v>876</v>
      </c>
      <c r="G19" s="45">
        <v>3</v>
      </c>
      <c r="H19" s="46"/>
    </row>
    <row r="20" spans="2:8" x14ac:dyDescent="0.2">
      <c r="B20" s="37" t="str">
        <f>INDEX(T,40,lang)</f>
        <v>Уругвай</v>
      </c>
      <c r="C20" s="40">
        <v>1181</v>
      </c>
      <c r="D20" s="14"/>
      <c r="F20" s="45" t="s">
        <v>877</v>
      </c>
      <c r="G20" s="45">
        <v>4</v>
      </c>
      <c r="H20" s="46"/>
    </row>
    <row r="21" spans="2:8" x14ac:dyDescent="0.2">
      <c r="B21" s="37" t="str">
        <f>INDEX(T,42,lang)</f>
        <v>Аргентина</v>
      </c>
      <c r="C21" s="40">
        <v>1178</v>
      </c>
      <c r="D21" s="14"/>
      <c r="F21" s="45" t="s">
        <v>878</v>
      </c>
      <c r="G21" s="45">
        <v>5</v>
      </c>
      <c r="H21" s="46"/>
    </row>
    <row r="22" spans="2:8" x14ac:dyDescent="0.2">
      <c r="B22" s="37" t="str">
        <f>INDEX(T,67,lang)</f>
        <v>Швейцария</v>
      </c>
      <c r="C22" s="40">
        <v>1161</v>
      </c>
      <c r="D22" s="14"/>
      <c r="F22" s="45" t="s">
        <v>879</v>
      </c>
      <c r="G22" s="45">
        <v>6</v>
      </c>
      <c r="H22" s="46"/>
    </row>
    <row r="23" spans="2:8" x14ac:dyDescent="0.2">
      <c r="B23" s="37" t="str">
        <f>INDEX(T,58,lang)</f>
        <v>Италия</v>
      </c>
      <c r="C23" s="40">
        <v>1115</v>
      </c>
      <c r="D23" s="14"/>
      <c r="F23" s="45" t="s">
        <v>880</v>
      </c>
      <c r="G23" s="45">
        <v>7</v>
      </c>
      <c r="H23" s="46"/>
    </row>
    <row r="24" spans="2:8" x14ac:dyDescent="0.2">
      <c r="B24" s="37" t="str">
        <f>INDEX(T,45,lang)</f>
        <v>Греция</v>
      </c>
      <c r="C24" s="40">
        <v>1082</v>
      </c>
      <c r="D24" s="14"/>
      <c r="F24" s="45" t="s">
        <v>881</v>
      </c>
      <c r="G24" s="45">
        <v>8</v>
      </c>
      <c r="H24" s="46"/>
    </row>
    <row r="25" spans="2:8" x14ac:dyDescent="0.2">
      <c r="B25" s="37" t="str">
        <f>INDEX(T,46,lang)</f>
        <v>Англия</v>
      </c>
      <c r="C25" s="40">
        <v>1043</v>
      </c>
      <c r="D25" s="14"/>
      <c r="F25" s="45" t="s">
        <v>882</v>
      </c>
      <c r="G25" s="45">
        <v>9</v>
      </c>
      <c r="H25" s="46"/>
    </row>
    <row r="26" spans="2:8" x14ac:dyDescent="0.2">
      <c r="B26" s="37" t="str">
        <f>INDEX(T,63,lang)</f>
        <v>Бельгия</v>
      </c>
      <c r="C26" s="40">
        <v>1039</v>
      </c>
      <c r="D26" s="14"/>
      <c r="F26" s="45" t="s">
        <v>883</v>
      </c>
      <c r="G26" s="45">
        <v>10</v>
      </c>
      <c r="H26" s="46"/>
    </row>
    <row r="27" spans="2:8" x14ac:dyDescent="0.2">
      <c r="B27" s="37" t="str">
        <f>INDEX(T,69,lang)</f>
        <v>Чили</v>
      </c>
      <c r="C27" s="40">
        <v>1037</v>
      </c>
      <c r="D27" s="14"/>
      <c r="F27" s="45" t="s">
        <v>842</v>
      </c>
      <c r="G27" s="45">
        <v>11</v>
      </c>
      <c r="H27" s="46"/>
    </row>
    <row r="28" spans="2:8" x14ac:dyDescent="0.2">
      <c r="B28" s="37" t="str">
        <f>INDEX(T,47,lang)</f>
        <v>АҚШ</v>
      </c>
      <c r="C28" s="40">
        <v>1015</v>
      </c>
      <c r="D28" s="14"/>
      <c r="F28" s="45" t="s">
        <v>871</v>
      </c>
      <c r="G28" s="45">
        <v>12</v>
      </c>
      <c r="H28" s="46"/>
    </row>
    <row r="29" spans="2:8" x14ac:dyDescent="0.2">
      <c r="B29" s="37" t="str">
        <f>INDEX(T,54,lang)</f>
        <v>Голландия</v>
      </c>
      <c r="C29" s="40">
        <v>967</v>
      </c>
      <c r="D29" s="14"/>
      <c r="F29" s="45" t="s">
        <v>884</v>
      </c>
      <c r="G29" s="45">
        <v>13</v>
      </c>
      <c r="H29" s="46"/>
    </row>
    <row r="30" spans="2:8" x14ac:dyDescent="0.2">
      <c r="B30" s="37" t="str">
        <f>INDEX(T,41,lang)</f>
        <v>Франция</v>
      </c>
      <c r="C30" s="40">
        <v>935</v>
      </c>
      <c r="D30" s="14"/>
      <c r="F30" s="45" t="s">
        <v>885</v>
      </c>
      <c r="G30" s="45">
        <v>14</v>
      </c>
      <c r="H30" s="46"/>
    </row>
    <row r="31" spans="2:8" x14ac:dyDescent="0.2">
      <c r="B31" s="37" t="str">
        <f>INDEX(T,49,lang)</f>
        <v>Россия</v>
      </c>
      <c r="C31" s="40">
        <v>903</v>
      </c>
      <c r="D31" s="14"/>
      <c r="F31" s="45" t="s">
        <v>886</v>
      </c>
      <c r="G31" s="45">
        <v>15</v>
      </c>
      <c r="H31" s="46"/>
    </row>
    <row r="32" spans="2:8" x14ac:dyDescent="0.2">
      <c r="B32" s="37" t="str">
        <f>INDEX(T,39,lang)</f>
        <v>Мексика</v>
      </c>
      <c r="C32" s="40">
        <v>877</v>
      </c>
      <c r="D32" s="14"/>
      <c r="F32" s="45" t="s">
        <v>887</v>
      </c>
      <c r="G32" s="45">
        <v>16</v>
      </c>
      <c r="H32" s="46"/>
    </row>
    <row r="33" spans="2:8" x14ac:dyDescent="0.2">
      <c r="B33" s="37" t="str">
        <f>INDEX(T,38,lang)</f>
        <v>Хорватия</v>
      </c>
      <c r="C33" s="40">
        <v>871</v>
      </c>
      <c r="D33" s="14"/>
      <c r="F33" s="45" t="s">
        <v>888</v>
      </c>
      <c r="G33" s="45">
        <v>17</v>
      </c>
      <c r="H33" s="46"/>
    </row>
    <row r="34" spans="2:8" x14ac:dyDescent="0.2">
      <c r="B34" s="37" t="str">
        <f>INDEX(T,64,lang)</f>
        <v>Кот-д’Ивуар</v>
      </c>
      <c r="C34" s="40">
        <v>830</v>
      </c>
      <c r="D34" s="14"/>
      <c r="F34" s="45" t="s">
        <v>889</v>
      </c>
      <c r="G34" s="45">
        <v>18</v>
      </c>
      <c r="H34" s="46"/>
    </row>
    <row r="35" spans="2:8" x14ac:dyDescent="0.2">
      <c r="B35" s="37" t="str">
        <f>INDEX(T,60,lang)</f>
        <v>Босния ва Герцеговина</v>
      </c>
      <c r="C35" s="40">
        <v>795</v>
      </c>
      <c r="D35" s="14"/>
      <c r="F35" s="45" t="s">
        <v>890</v>
      </c>
      <c r="G35" s="45">
        <v>19</v>
      </c>
      <c r="H35" s="46"/>
    </row>
    <row r="36" spans="2:8" x14ac:dyDescent="0.2">
      <c r="B36" s="37" t="str">
        <f>INDEX(T,48,lang)</f>
        <v>Жазоир</v>
      </c>
      <c r="C36" s="40">
        <v>795</v>
      </c>
      <c r="D36" s="14"/>
      <c r="F36" s="45" t="s">
        <v>891</v>
      </c>
      <c r="G36" s="45">
        <v>20</v>
      </c>
      <c r="H36" s="46"/>
    </row>
    <row r="37" spans="2:8" x14ac:dyDescent="0.2">
      <c r="B37" s="37" t="str">
        <f>INDEX(T,59,lang)</f>
        <v>Эквадор</v>
      </c>
      <c r="C37" s="40">
        <v>794</v>
      </c>
      <c r="D37" s="14"/>
      <c r="F37" s="45" t="s">
        <v>892</v>
      </c>
      <c r="G37" s="45">
        <v>21</v>
      </c>
      <c r="H37" s="46"/>
    </row>
    <row r="38" spans="2:8" x14ac:dyDescent="0.2">
      <c r="B38" s="37" t="str">
        <f>INDEX(T,68,lang)</f>
        <v>Гондурас</v>
      </c>
      <c r="C38" s="40">
        <v>759</v>
      </c>
      <c r="D38" s="14"/>
      <c r="F38" s="45" t="s">
        <v>893</v>
      </c>
      <c r="G38" s="45">
        <v>22</v>
      </c>
      <c r="H38" s="46"/>
    </row>
    <row r="39" spans="2:8" x14ac:dyDescent="0.2">
      <c r="B39" s="37" t="str">
        <f>INDEX(T,55,lang)</f>
        <v>Коста-Рика</v>
      </c>
      <c r="C39" s="40">
        <v>748</v>
      </c>
      <c r="D39" s="14"/>
      <c r="F39" s="45" t="s">
        <v>894</v>
      </c>
      <c r="G39" s="45">
        <v>23</v>
      </c>
      <c r="H39" s="46"/>
    </row>
    <row r="40" spans="2:8" x14ac:dyDescent="0.2">
      <c r="B40" s="37" t="str">
        <f>INDEX(T,61,lang)</f>
        <v>Эрон</v>
      </c>
      <c r="C40" s="40">
        <v>715</v>
      </c>
      <c r="D40" s="14"/>
      <c r="F40" s="45"/>
      <c r="G40" s="45"/>
      <c r="H40" s="46"/>
    </row>
    <row r="41" spans="2:8" x14ac:dyDescent="0.2">
      <c r="B41" s="37" t="str">
        <f>INDEX(T,53,lang)</f>
        <v>Гана</v>
      </c>
      <c r="C41" s="40">
        <v>713</v>
      </c>
      <c r="D41" s="14"/>
      <c r="F41" s="48" t="s">
        <v>872</v>
      </c>
      <c r="G41" s="45">
        <v>0</v>
      </c>
      <c r="H41" s="46"/>
    </row>
    <row r="42" spans="2:8" x14ac:dyDescent="0.2">
      <c r="B42" s="37" t="str">
        <f>INDEX(T,51,lang)</f>
        <v>Австралия</v>
      </c>
      <c r="C42" s="40">
        <v>673</v>
      </c>
      <c r="D42" s="14"/>
      <c r="F42" s="48" t="s">
        <v>895</v>
      </c>
      <c r="G42" s="45">
        <v>15</v>
      </c>
      <c r="H42" s="46"/>
    </row>
    <row r="43" spans="2:8" x14ac:dyDescent="0.2">
      <c r="B43" s="37" t="str">
        <f>INDEX(T,43,lang)</f>
        <v>Нигерия</v>
      </c>
      <c r="C43" s="40">
        <v>631</v>
      </c>
      <c r="D43" s="14"/>
      <c r="F43" s="48" t="s">
        <v>896</v>
      </c>
      <c r="G43" s="45">
        <v>30</v>
      </c>
      <c r="H43" s="46"/>
    </row>
    <row r="44" spans="2:8" x14ac:dyDescent="0.2">
      <c r="B44" s="37" t="str">
        <f>INDEX(T,56,lang)</f>
        <v>Япония</v>
      </c>
      <c r="C44" s="40">
        <v>613</v>
      </c>
      <c r="D44" s="14"/>
      <c r="F44" s="48" t="s">
        <v>897</v>
      </c>
      <c r="G44" s="45">
        <v>45</v>
      </c>
      <c r="H44" s="46"/>
    </row>
    <row r="45" spans="2:8" x14ac:dyDescent="0.2">
      <c r="B45" s="37" t="str">
        <f>INDEX(T,57,lang)</f>
        <v>Камерун</v>
      </c>
      <c r="C45" s="40">
        <v>583</v>
      </c>
      <c r="D45" s="14"/>
      <c r="F45" s="48"/>
      <c r="G45" s="45"/>
      <c r="H45" s="46"/>
    </row>
    <row r="46" spans="2:8" x14ac:dyDescent="0.2">
      <c r="B46" s="37" t="str">
        <f>INDEX(T,44,lang)</f>
        <v>Жанубий Корея</v>
      </c>
      <c r="C46" s="41">
        <v>551</v>
      </c>
      <c r="D46" s="14"/>
      <c r="F46" s="46" t="s">
        <v>979</v>
      </c>
      <c r="G46" s="47">
        <f>IF(G4="Type 2",0,1)</f>
        <v>1</v>
      </c>
      <c r="H46" s="46"/>
    </row>
    <row r="47" spans="2:8" x14ac:dyDescent="0.2">
      <c r="B47" s="16"/>
      <c r="C47" s="17"/>
      <c r="D47" s="18"/>
      <c r="F47" s="46"/>
      <c r="G47" s="46"/>
      <c r="H47" s="46"/>
    </row>
  </sheetData>
  <sheetProtection password="A023" sheet="1" objects="1" scenarios="1"/>
  <phoneticPr fontId="2" type="noConversion"/>
  <dataValidations count="4">
    <dataValidation type="list" allowBlank="1" showInputMessage="1" showErrorMessage="1" sqref="C6">
      <formula1>"Yes,No"</formula1>
    </dataValidation>
    <dataValidation type="list" allowBlank="1" showInputMessage="1" showErrorMessage="1" sqref="C4">
      <formula1>lang_list</formula1>
    </dataValidation>
    <dataValidation type="list" allowBlank="1" showInputMessage="1" showErrorMessage="1" promptTitle="Select GTM-time" prompt="Use drop-down List" sqref="C8">
      <formula1>$F$16:$F$39</formula1>
    </dataValidation>
    <dataValidation type="list" allowBlank="1" showInputMessage="1" showErrorMessage="1" promptTitle="Select Minutes" prompt="Use drop-down List" sqref="C10">
      <formula1>$F$41:$F$44</formula1>
    </dataValidation>
  </dataValidations>
  <pageMargins left="0.75" right="0.75" top="1" bottom="1" header="0.5" footer="0.5"/>
  <pageSetup paperSize="9" orientation="portrait" r:id="rId1"/>
  <headerFooter alignWithMargins="0"/>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127"/>
  <sheetViews>
    <sheetView showGridLines="0" tabSelected="1" zoomScaleNormal="100" zoomScaleSheetLayoutView="130" zoomScalePageLayoutView="25" workbookViewId="0">
      <selection sqref="A1:S1"/>
    </sheetView>
  </sheetViews>
  <sheetFormatPr defaultRowHeight="12.75" x14ac:dyDescent="0.2"/>
  <cols>
    <col min="1" max="1" width="4.85546875" style="1" customWidth="1"/>
    <col min="2" max="2" width="5.7109375" style="1" customWidth="1"/>
    <col min="3" max="3" width="11.7109375" style="1" bestFit="1" customWidth="1"/>
    <col min="4" max="4" width="7.28515625" style="3" customWidth="1"/>
    <col min="5" max="5" width="22.5703125" style="4" customWidth="1"/>
    <col min="6" max="7" width="5.28515625" style="5" customWidth="1"/>
    <col min="8" max="8" width="22.5703125" style="6" customWidth="1"/>
    <col min="9" max="9" width="15.85546875" style="4" customWidth="1"/>
    <col min="10" max="11" width="4.28515625" style="4" customWidth="1"/>
    <col min="12" max="12" width="3.42578125" style="2" customWidth="1"/>
    <col min="13" max="13" width="14" style="24" customWidth="1"/>
    <col min="14" max="17" width="5.42578125" style="25" customWidth="1"/>
    <col min="18" max="18" width="7.7109375" style="25" customWidth="1"/>
    <col min="19" max="19" width="6.7109375" style="25" customWidth="1"/>
    <col min="20" max="20" width="3.42578125" style="44" customWidth="1"/>
    <col min="21" max="21" width="15.42578125" style="64" hidden="1" customWidth="1"/>
    <col min="22" max="23" width="16" style="70" hidden="1" customWidth="1"/>
    <col min="24" max="24" width="5" style="65" hidden="1" customWidth="1"/>
    <col min="25" max="26" width="6.140625" style="64" hidden="1" customWidth="1"/>
    <col min="27" max="27" width="4.28515625" style="65" hidden="1" customWidth="1"/>
    <col min="28" max="28" width="5.42578125" style="64" hidden="1" customWidth="1"/>
    <col min="29" max="29" width="13.42578125" style="65" hidden="1" customWidth="1"/>
    <col min="30" max="34" width="5.42578125" style="64" hidden="1" customWidth="1"/>
    <col min="35" max="37" width="6" style="64" hidden="1" customWidth="1"/>
    <col min="38" max="38" width="5.42578125" style="64" hidden="1" customWidth="1"/>
    <col min="39" max="39" width="6" style="64" hidden="1" customWidth="1"/>
    <col min="40" max="40" width="7.140625" style="65" hidden="1" customWidth="1"/>
    <col min="41" max="41" width="10" style="65" hidden="1" customWidth="1"/>
    <col min="42" max="42" width="15.28515625" style="66" hidden="1" customWidth="1"/>
    <col min="43" max="43" width="4.7109375" style="67" hidden="1" customWidth="1"/>
    <col min="44" max="47" width="4.7109375" style="68" hidden="1" customWidth="1"/>
    <col min="48" max="50" width="9.140625" style="69" hidden="1" customWidth="1"/>
    <col min="51" max="51" width="9.140625" style="83" customWidth="1"/>
    <col min="52" max="16384" width="9.140625" style="2"/>
  </cols>
  <sheetData>
    <row r="1" spans="1:47" ht="46.5" x14ac:dyDescent="0.2">
      <c r="A1" s="249" t="s">
        <v>2822</v>
      </c>
      <c r="B1" s="250"/>
      <c r="C1" s="250"/>
      <c r="D1" s="250"/>
      <c r="E1" s="250"/>
      <c r="F1" s="250"/>
      <c r="G1" s="250"/>
      <c r="H1" s="250"/>
      <c r="I1" s="250"/>
      <c r="J1" s="250"/>
      <c r="K1" s="250"/>
      <c r="L1" s="250"/>
      <c r="M1" s="250"/>
      <c r="N1" s="250"/>
      <c r="O1" s="250"/>
      <c r="P1" s="250"/>
      <c r="Q1" s="250"/>
      <c r="R1" s="250"/>
      <c r="S1" s="251"/>
      <c r="V1" s="64"/>
      <c r="W1" s="64"/>
      <c r="X1" s="64"/>
      <c r="AA1" s="64"/>
      <c r="AC1" s="64"/>
      <c r="AE1" s="65"/>
      <c r="AF1" s="65"/>
      <c r="AG1" s="66"/>
      <c r="AH1" s="67"/>
      <c r="AI1" s="68"/>
      <c r="AJ1" s="68"/>
      <c r="AK1" s="68"/>
      <c r="AL1" s="68"/>
      <c r="AM1" s="69"/>
      <c r="AN1" s="69"/>
      <c r="AO1" s="69"/>
      <c r="AP1" s="69"/>
      <c r="AQ1" s="69"/>
      <c r="AR1" s="69"/>
      <c r="AS1" s="69"/>
      <c r="AT1" s="69"/>
      <c r="AU1" s="69"/>
    </row>
    <row r="2" spans="1:47" ht="6.75" customHeight="1" thickBot="1" x14ac:dyDescent="0.25">
      <c r="V2" s="64"/>
      <c r="W2" s="64"/>
      <c r="X2" s="64"/>
      <c r="AA2" s="64"/>
      <c r="AC2" s="64"/>
      <c r="AE2" s="65"/>
      <c r="AF2" s="65"/>
      <c r="AG2" s="66"/>
      <c r="AH2" s="67"/>
      <c r="AI2" s="68"/>
      <c r="AJ2" s="68"/>
      <c r="AK2" s="68"/>
      <c r="AL2" s="68"/>
      <c r="AM2" s="69"/>
      <c r="AN2" s="69"/>
      <c r="AO2" s="69"/>
      <c r="AP2" s="69"/>
      <c r="AQ2" s="69"/>
      <c r="AR2" s="69"/>
      <c r="AS2" s="69"/>
      <c r="AT2" s="69"/>
      <c r="AU2" s="69"/>
    </row>
    <row r="3" spans="1:47" ht="20.25" customHeight="1" x14ac:dyDescent="0.2">
      <c r="B3" s="259" t="s">
        <v>2791</v>
      </c>
      <c r="C3" s="259"/>
      <c r="D3" s="259"/>
      <c r="E3" s="189"/>
      <c r="F3" s="189"/>
      <c r="G3" s="189"/>
      <c r="H3" s="189"/>
      <c r="M3" s="176" t="s">
        <v>2786</v>
      </c>
      <c r="N3" s="177"/>
      <c r="O3" s="177"/>
      <c r="P3" s="177"/>
      <c r="Q3" s="177"/>
      <c r="R3" s="177"/>
      <c r="S3" s="178"/>
      <c r="V3" s="64"/>
      <c r="W3" s="64"/>
      <c r="X3" s="64"/>
      <c r="AA3" s="64"/>
      <c r="AC3" s="64"/>
      <c r="AE3" s="65"/>
      <c r="AF3" s="65"/>
      <c r="AG3" s="66"/>
      <c r="AH3" s="67"/>
      <c r="AI3" s="68"/>
      <c r="AJ3" s="68"/>
      <c r="AK3" s="68"/>
      <c r="AL3" s="68"/>
      <c r="AM3" s="69"/>
      <c r="AN3" s="69"/>
      <c r="AO3" s="69"/>
      <c r="AP3" s="69"/>
      <c r="AQ3" s="69"/>
      <c r="AR3" s="69"/>
      <c r="AS3" s="69"/>
      <c r="AT3" s="69"/>
      <c r="AU3" s="69"/>
    </row>
    <row r="4" spans="1:47" ht="20.25" customHeight="1" thickBot="1" x14ac:dyDescent="0.25">
      <c r="B4" s="259" t="s">
        <v>2792</v>
      </c>
      <c r="C4" s="259"/>
      <c r="D4" s="259"/>
      <c r="E4" s="189"/>
      <c r="F4" s="189"/>
      <c r="G4" s="189"/>
      <c r="H4" s="189"/>
      <c r="M4" s="179"/>
      <c r="N4" s="180"/>
      <c r="O4" s="180"/>
      <c r="P4" s="180"/>
      <c r="Q4" s="180"/>
      <c r="R4" s="180"/>
      <c r="S4" s="181"/>
      <c r="V4" s="64"/>
      <c r="W4" s="64"/>
      <c r="X4" s="64"/>
      <c r="AA4" s="64"/>
      <c r="AC4" s="64"/>
      <c r="AE4" s="65"/>
      <c r="AF4" s="65"/>
      <c r="AG4" s="66"/>
      <c r="AH4" s="67"/>
      <c r="AI4" s="68"/>
      <c r="AJ4" s="68"/>
      <c r="AK4" s="68"/>
      <c r="AL4" s="68"/>
      <c r="AM4" s="69"/>
      <c r="AN4" s="69"/>
      <c r="AO4" s="69"/>
      <c r="AP4" s="69"/>
      <c r="AQ4" s="69"/>
      <c r="AR4" s="69"/>
      <c r="AS4" s="69"/>
      <c r="AT4" s="69"/>
      <c r="AU4" s="69"/>
    </row>
    <row r="5" spans="1:47" ht="20.25" customHeight="1" thickBot="1" x14ac:dyDescent="0.25">
      <c r="B5" s="259" t="s">
        <v>2793</v>
      </c>
      <c r="C5" s="259"/>
      <c r="D5" s="259"/>
      <c r="E5" s="189"/>
      <c r="F5" s="189"/>
      <c r="G5" s="189"/>
      <c r="H5" s="189"/>
      <c r="M5" s="166"/>
      <c r="N5" s="166"/>
      <c r="O5" s="166"/>
      <c r="P5" s="166"/>
      <c r="Q5" s="166"/>
      <c r="R5" s="166"/>
      <c r="S5" s="166"/>
      <c r="V5" s="64"/>
      <c r="W5" s="64"/>
      <c r="X5" s="64"/>
      <c r="AA5" s="64"/>
      <c r="AC5" s="64"/>
      <c r="AE5" s="65"/>
      <c r="AF5" s="65"/>
      <c r="AG5" s="66"/>
      <c r="AH5" s="67"/>
      <c r="AI5" s="68"/>
      <c r="AJ5" s="68"/>
      <c r="AK5" s="68"/>
      <c r="AL5" s="68"/>
      <c r="AM5" s="69"/>
      <c r="AN5" s="69"/>
      <c r="AO5" s="69"/>
      <c r="AP5" s="69"/>
      <c r="AQ5" s="69"/>
      <c r="AR5" s="69"/>
      <c r="AS5" s="69"/>
      <c r="AT5" s="69"/>
      <c r="AU5" s="69"/>
    </row>
    <row r="6" spans="1:47" ht="20.25" customHeight="1" x14ac:dyDescent="0.2">
      <c r="B6" s="259" t="s">
        <v>2785</v>
      </c>
      <c r="C6" s="259"/>
      <c r="D6" s="259"/>
      <c r="E6" s="189"/>
      <c r="F6" s="189"/>
      <c r="G6" s="189"/>
      <c r="H6" s="189"/>
      <c r="M6" s="170" t="s">
        <v>2814</v>
      </c>
      <c r="N6" s="171"/>
      <c r="O6" s="171"/>
      <c r="P6" s="171"/>
      <c r="Q6" s="171"/>
      <c r="R6" s="171"/>
      <c r="S6" s="172"/>
      <c r="V6" s="64"/>
      <c r="W6" s="64"/>
      <c r="X6" s="64"/>
      <c r="AA6" s="64"/>
      <c r="AC6" s="64"/>
      <c r="AE6" s="65"/>
      <c r="AF6" s="65"/>
      <c r="AG6" s="66"/>
      <c r="AH6" s="67"/>
      <c r="AI6" s="68"/>
      <c r="AJ6" s="68"/>
      <c r="AK6" s="68"/>
      <c r="AL6" s="68"/>
      <c r="AM6" s="69"/>
      <c r="AN6" s="69"/>
      <c r="AO6" s="69"/>
      <c r="AP6" s="69"/>
      <c r="AQ6" s="69"/>
      <c r="AR6" s="69"/>
      <c r="AS6" s="69"/>
      <c r="AT6" s="69"/>
      <c r="AU6" s="69"/>
    </row>
    <row r="7" spans="1:47" ht="29.25" customHeight="1" thickBot="1" x14ac:dyDescent="0.25">
      <c r="B7" s="190" t="s">
        <v>2795</v>
      </c>
      <c r="C7" s="191"/>
      <c r="D7" s="191"/>
      <c r="E7" s="191"/>
      <c r="F7" s="191"/>
      <c r="G7" s="191"/>
      <c r="H7" s="192"/>
      <c r="M7" s="173"/>
      <c r="N7" s="174"/>
      <c r="O7" s="174"/>
      <c r="P7" s="174"/>
      <c r="Q7" s="174"/>
      <c r="R7" s="174"/>
      <c r="S7" s="175"/>
      <c r="V7" s="64"/>
      <c r="W7" s="64"/>
      <c r="X7" s="64"/>
      <c r="AA7" s="64"/>
      <c r="AC7" s="64"/>
      <c r="AE7" s="65"/>
      <c r="AF7" s="65"/>
      <c r="AG7" s="66"/>
      <c r="AH7" s="67"/>
      <c r="AI7" s="68"/>
      <c r="AJ7" s="68"/>
      <c r="AK7" s="68"/>
      <c r="AL7" s="68"/>
      <c r="AM7" s="69"/>
      <c r="AN7" s="69"/>
      <c r="AO7" s="69"/>
      <c r="AP7" s="69"/>
      <c r="AQ7" s="69"/>
      <c r="AR7" s="69"/>
      <c r="AS7" s="69"/>
      <c r="AT7" s="69"/>
      <c r="AU7" s="69"/>
    </row>
    <row r="8" spans="1:47" ht="9.75" customHeight="1" x14ac:dyDescent="0.2">
      <c r="V8" s="64"/>
      <c r="W8" s="64"/>
      <c r="X8" s="64"/>
      <c r="AA8" s="64"/>
      <c r="AC8" s="64"/>
      <c r="AE8" s="65"/>
      <c r="AF8" s="65"/>
      <c r="AG8" s="66"/>
      <c r="AH8" s="67"/>
      <c r="AI8" s="68"/>
      <c r="AJ8" s="68"/>
      <c r="AK8" s="68"/>
      <c r="AL8" s="68"/>
      <c r="AM8" s="69"/>
      <c r="AN8" s="69"/>
      <c r="AO8" s="69"/>
      <c r="AP8" s="69"/>
      <c r="AQ8" s="69"/>
      <c r="AR8" s="69"/>
      <c r="AS8" s="69"/>
      <c r="AT8" s="69"/>
      <c r="AU8" s="69"/>
    </row>
    <row r="9" spans="1:47" ht="50.25" hidden="1" customHeight="1" x14ac:dyDescent="0.2">
      <c r="A9" s="81"/>
      <c r="B9" s="81"/>
      <c r="C9" s="196" t="s">
        <v>2746</v>
      </c>
      <c r="D9" s="196"/>
      <c r="E9" s="196"/>
      <c r="F9" s="196"/>
      <c r="G9" s="81"/>
      <c r="H9" s="258" t="s">
        <v>2746</v>
      </c>
      <c r="I9" s="258"/>
      <c r="J9" s="258"/>
      <c r="K9" s="124"/>
      <c r="L9" s="81"/>
      <c r="M9" s="196" t="s">
        <v>2746</v>
      </c>
      <c r="N9" s="196"/>
      <c r="O9" s="196"/>
      <c r="P9" s="196"/>
      <c r="Q9" s="196"/>
      <c r="R9" s="196"/>
      <c r="S9" s="196"/>
      <c r="V9" s="64"/>
      <c r="W9" s="64"/>
      <c r="X9" s="64"/>
      <c r="AA9" s="64"/>
      <c r="AC9" s="64"/>
      <c r="AE9" s="65"/>
      <c r="AF9" s="65"/>
      <c r="AG9" s="66"/>
      <c r="AH9" s="67"/>
      <c r="AI9" s="68"/>
      <c r="AJ9" s="68"/>
      <c r="AK9" s="68"/>
      <c r="AL9" s="68"/>
      <c r="AM9" s="69"/>
      <c r="AN9" s="69"/>
      <c r="AO9" s="69"/>
      <c r="AP9" s="69"/>
      <c r="AQ9" s="69"/>
      <c r="AR9" s="69"/>
      <c r="AS9" s="69"/>
      <c r="AT9" s="69"/>
      <c r="AU9" s="69"/>
    </row>
    <row r="10" spans="1:47" ht="6.75" customHeight="1" x14ac:dyDescent="0.2"/>
    <row r="11" spans="1:47" ht="12.75" customHeight="1" x14ac:dyDescent="0.2">
      <c r="A11" s="233" t="str">
        <f>INDEX(T,3,lang)</f>
        <v>Гуруҳ босқичи</v>
      </c>
      <c r="B11" s="234"/>
      <c r="C11" s="234"/>
      <c r="D11" s="234"/>
      <c r="E11" s="234"/>
      <c r="F11" s="234"/>
      <c r="G11" s="234"/>
      <c r="H11" s="234"/>
      <c r="I11" s="234"/>
      <c r="J11" s="234"/>
      <c r="K11" s="235"/>
      <c r="M11" s="252" t="s">
        <v>2794</v>
      </c>
      <c r="N11" s="253"/>
      <c r="O11" s="253"/>
      <c r="P11" s="253"/>
      <c r="Q11" s="253"/>
      <c r="R11" s="253"/>
      <c r="S11" s="254"/>
    </row>
    <row r="12" spans="1:47" ht="12.75" customHeight="1" x14ac:dyDescent="0.2">
      <c r="A12" s="236"/>
      <c r="B12" s="237"/>
      <c r="C12" s="237"/>
      <c r="D12" s="237"/>
      <c r="E12" s="237"/>
      <c r="F12" s="237"/>
      <c r="G12" s="237"/>
      <c r="H12" s="237"/>
      <c r="I12" s="237"/>
      <c r="J12" s="237"/>
      <c r="K12" s="238"/>
      <c r="M12" s="255"/>
      <c r="N12" s="256"/>
      <c r="O12" s="256"/>
      <c r="P12" s="256"/>
      <c r="Q12" s="256"/>
      <c r="R12" s="256"/>
      <c r="S12" s="257"/>
      <c r="U12" s="64" t="s">
        <v>834</v>
      </c>
      <c r="Y12" s="64" t="s">
        <v>803</v>
      </c>
      <c r="Z12" s="64" t="s">
        <v>804</v>
      </c>
      <c r="AB12" s="64" t="s">
        <v>802</v>
      </c>
      <c r="AC12" s="64" t="s">
        <v>801</v>
      </c>
      <c r="AD12" s="64" t="s">
        <v>796</v>
      </c>
      <c r="AE12" s="64" t="s">
        <v>797</v>
      </c>
      <c r="AF12" s="64" t="s">
        <v>798</v>
      </c>
      <c r="AG12" s="64" t="s">
        <v>803</v>
      </c>
      <c r="AH12" s="64" t="s">
        <v>804</v>
      </c>
      <c r="AI12" s="64" t="s">
        <v>968</v>
      </c>
      <c r="AJ12" s="64" t="s">
        <v>968</v>
      </c>
      <c r="AL12" s="64" t="s">
        <v>799</v>
      </c>
      <c r="AM12" s="64" t="s">
        <v>967</v>
      </c>
      <c r="AN12" s="64" t="s">
        <v>568</v>
      </c>
      <c r="AO12" s="64" t="s">
        <v>800</v>
      </c>
      <c r="AQ12" s="67" t="s">
        <v>796</v>
      </c>
      <c r="AR12" s="68" t="s">
        <v>797</v>
      </c>
      <c r="AS12" s="68" t="s">
        <v>803</v>
      </c>
      <c r="AT12" s="68" t="s">
        <v>804</v>
      </c>
      <c r="AU12" s="68" t="s">
        <v>567</v>
      </c>
    </row>
    <row r="13" spans="1:47" x14ac:dyDescent="0.2">
      <c r="A13" s="84">
        <v>1</v>
      </c>
      <c r="B13" s="85" t="str">
        <f t="shared" ref="B13:B60" si="0">INDEX(T,18+INT(MOD(U13-1,7)),lang)</f>
        <v>Жума</v>
      </c>
      <c r="C13" s="86" t="str">
        <f t="shared" ref="C13:C60" si="1">INDEX(T,24+MONTH(U13),lang) &amp; " " &amp; DAY(U13) &amp; ", " &amp; YEAR(U13)</f>
        <v>Июнь 13, 2014</v>
      </c>
      <c r="D13" s="87">
        <f>TIME(HOUR(U13),MINUTE(U13),0)</f>
        <v>4.1666666666666664E-2</v>
      </c>
      <c r="E13" s="88" t="str">
        <f>AC14</f>
        <v>Бразилия</v>
      </c>
      <c r="F13" s="58"/>
      <c r="G13" s="59"/>
      <c r="H13" s="99" t="str">
        <f>AC15</f>
        <v>Хорватия</v>
      </c>
      <c r="I13" s="219" t="str">
        <f>INDEX(T,114,lang)</f>
        <v>Сан-Паулу</v>
      </c>
      <c r="J13" s="220"/>
      <c r="K13" s="221"/>
      <c r="U13" s="64">
        <f>DATE(2014,6,12)+TIME(9,0,0)+gmt_delta</f>
        <v>41803.041666666664</v>
      </c>
      <c r="V13" s="70" t="str">
        <f>IF(OR(F13="",G13=""),"",IF(F13&gt;G13,E13&amp;"_win",IF(F13&lt;G13,E13&amp;"_lose",E13&amp;"_draw")))</f>
        <v/>
      </c>
      <c r="W13" s="70" t="str">
        <f t="shared" ref="W13:W60" si="2">IF(V13="","",IF(F13&lt;G13,H13&amp;"_win",IF(F13&gt;G13,H13&amp;"_lose",H13&amp;"_draw")))</f>
        <v/>
      </c>
      <c r="X13" s="65">
        <f>IF(V13="",0,IF(VLOOKUP(E13,$AC$14:$AL$59,7,FALSE)=VLOOKUP(H13,$AC$14:$AL$59,7,FALSE),1,0))</f>
        <v>0</v>
      </c>
      <c r="Y13" s="64">
        <f>X13*F13</f>
        <v>0</v>
      </c>
      <c r="Z13" s="64">
        <f>X13*G13</f>
        <v>0</v>
      </c>
    </row>
    <row r="14" spans="1:47" ht="12.75" customHeight="1" x14ac:dyDescent="0.2">
      <c r="A14" s="89">
        <v>2</v>
      </c>
      <c r="B14" s="90" t="str">
        <f t="shared" si="0"/>
        <v>Жума</v>
      </c>
      <c r="C14" s="91" t="str">
        <f t="shared" si="1"/>
        <v>Июнь 13, 2014</v>
      </c>
      <c r="D14" s="92">
        <f t="shared" ref="D14:D60" si="3">TIME(HOUR(U14),MINUTE(U14),0)</f>
        <v>0.875</v>
      </c>
      <c r="E14" s="93" t="str">
        <f>AC16</f>
        <v>Мексика</v>
      </c>
      <c r="F14" s="54"/>
      <c r="G14" s="55"/>
      <c r="H14" s="100" t="str">
        <f>AC17</f>
        <v>Камерун</v>
      </c>
      <c r="I14" s="222" t="str">
        <f>INDEX(T,109,lang)</f>
        <v>Натал</v>
      </c>
      <c r="J14" s="223"/>
      <c r="K14" s="224"/>
      <c r="M14" s="52" t="str">
        <f>INDEX(T,9,lang) &amp; " " &amp; "A"</f>
        <v>Гуруҳ A</v>
      </c>
      <c r="N14" s="53" t="str">
        <f>INDEX(T,10,lang)</f>
        <v>Ў</v>
      </c>
      <c r="O14" s="53" t="str">
        <f>INDEX(T,11,lang)</f>
        <v>Ю</v>
      </c>
      <c r="P14" s="53" t="str">
        <f>INDEX(T,12,lang)</f>
        <v>Д</v>
      </c>
      <c r="Q14" s="53" t="str">
        <f>INDEX(T,13,lang)</f>
        <v>М</v>
      </c>
      <c r="R14" s="53" t="str">
        <f>INDEX(T,14,lang)</f>
        <v>Тўп. нисб.</v>
      </c>
      <c r="S14" s="53" t="str">
        <f>INDEX(T,15,lang)</f>
        <v>Очколар</v>
      </c>
      <c r="U14" s="64">
        <f>DATE(2014,6,13)+TIME(5,0,0)+gmt_delta</f>
        <v>41803.875</v>
      </c>
      <c r="V14" s="70" t="str">
        <f t="shared" ref="V14:V60" si="4">IF(OR(F14="",G14=""),"",IF(F14&gt;G14,E14&amp;"_win",IF(F14&lt;G14,E14&amp;"_lose",E14&amp;"_draw")))</f>
        <v/>
      </c>
      <c r="W14" s="70" t="str">
        <f t="shared" si="2"/>
        <v/>
      </c>
      <c r="X14" s="65">
        <f t="shared" ref="X14:X60" si="5">IF(V14="",0,IF(VLOOKUP(E14,$AC$14:$AL$59,7,FALSE)=VLOOKUP(H14,$AC$14:$AL$59,7,FALSE),1,0))</f>
        <v>0</v>
      </c>
      <c r="Y14" s="64">
        <f t="shared" ref="Y14:Y60" si="6">X14*F14</f>
        <v>0</v>
      </c>
      <c r="Z14" s="64">
        <f t="shared" ref="Z14:Z60" si="7">X14*G14</f>
        <v>0</v>
      </c>
      <c r="AB14" s="64">
        <f>COUNTIF(AO14:AO17,CONCATENATE("&gt;=",AO14))</f>
        <v>1</v>
      </c>
      <c r="AC14" s="65" t="str">
        <f>INDEX(T,62,lang)</f>
        <v>Бразилия</v>
      </c>
      <c r="AD14" s="64">
        <f>COUNTIF($V$13:$W$60,"=" &amp; AC14 &amp; "_win")</f>
        <v>0</v>
      </c>
      <c r="AE14" s="64">
        <f>COUNTIF($V$13:$W$60,"=" &amp; AC14 &amp; "_draw")</f>
        <v>0</v>
      </c>
      <c r="AF14" s="64">
        <f>COUNTIF($V$13:$W$60,"=" &amp; AC14 &amp; "_lose")</f>
        <v>0</v>
      </c>
      <c r="AG14" s="64">
        <f>SUMIF($E$13:$E$60,$AC14,$F$13:$F$60) + SUMIF($H$13:$H$60,$AC14,$G$13:$G$60)</f>
        <v>0</v>
      </c>
      <c r="AH14" s="64">
        <f>SUMIF($E$13:$E$60,$AC14,$G$13:$G$60) + SUMIF($H$13:$H$60,$AC14,$F$13:$F$60)</f>
        <v>0</v>
      </c>
      <c r="AI14" s="64">
        <f>(AG14-AH14)+1</f>
        <v>1</v>
      </c>
      <c r="AJ14" s="64">
        <f>AG14-AH14</f>
        <v>0</v>
      </c>
      <c r="AK14" s="64">
        <f>(AJ14-AJ19)/AJ18</f>
        <v>0</v>
      </c>
      <c r="AL14" s="64">
        <f>AD14*3+AE14</f>
        <v>0</v>
      </c>
      <c r="AM14" s="64">
        <f>AQ14/AQ18*1000+AR14/AR18*100+AU14/AU18*10+AS14/AS18</f>
        <v>0</v>
      </c>
      <c r="AN14" s="64">
        <f>VLOOKUP(AC14,db_fifarank,2,FALSE)/2000000</f>
        <v>6.0499999999999996E-4</v>
      </c>
      <c r="AO14" s="65">
        <f>1000*AL14/AL18+100*AK14+10*AG14/AG18+1*AM14/AM18+AN14</f>
        <v>6.0499999999999996E-4</v>
      </c>
      <c r="AP14" s="66" t="str">
        <f>IF(SUM(AD14:AF17)=12,M15,INDEX(T,70,lang))</f>
        <v>1A</v>
      </c>
      <c r="AQ14" s="67">
        <f>SUMPRODUCT(($V$13:$V$60=AC14&amp;"_win")*($X$13:$X$60))+SUMPRODUCT(($W$13:$W$60=AC14&amp;"_win")*($X$13:$X$60))</f>
        <v>0</v>
      </c>
      <c r="AR14" s="68">
        <f>SUMPRODUCT(($V$13:$V$60=AC14&amp;"_draw")*($X$13:$X$60))+SUMPRODUCT(($W$13:$W$60=AC14&amp;"_draw")*($X$13:$X$60))</f>
        <v>0</v>
      </c>
      <c r="AS14" s="68">
        <f>SUMPRODUCT(($E$13:$E$60=AC14)*($X$13:$X$60)*($F$13:$F$60))+SUMPRODUCT(($H$13:$H$60=AC14)*($X$13:$X$60)*($G$13:$G$60))</f>
        <v>0</v>
      </c>
      <c r="AT14" s="68">
        <f>SUMPRODUCT(($E$13:$E$60=AC14)*($X$13:$X$60)*($G$13:$G$60))+SUMPRODUCT(($H$13:$H$60=AC14)*($X$13:$X$60)*($F$13:$F$60))</f>
        <v>0</v>
      </c>
      <c r="AU14" s="68">
        <f>AS14-AT14</f>
        <v>0</v>
      </c>
    </row>
    <row r="15" spans="1:47" ht="12.75" customHeight="1" x14ac:dyDescent="0.2">
      <c r="A15" s="89">
        <v>3</v>
      </c>
      <c r="B15" s="90" t="str">
        <f t="shared" si="0"/>
        <v>Шанба</v>
      </c>
      <c r="C15" s="91" t="str">
        <f t="shared" si="1"/>
        <v>Июнь 14, 2014</v>
      </c>
      <c r="D15" s="92">
        <f t="shared" si="3"/>
        <v>0</v>
      </c>
      <c r="E15" s="93" t="str">
        <f>AC20</f>
        <v>Испания</v>
      </c>
      <c r="F15" s="54"/>
      <c r="G15" s="55"/>
      <c r="H15" s="100" t="str">
        <f>AC21</f>
        <v>Голландия</v>
      </c>
      <c r="I15" s="222" t="str">
        <f>INDEX(T,113,lang)</f>
        <v>Сальвадор</v>
      </c>
      <c r="J15" s="223"/>
      <c r="K15" s="224"/>
      <c r="M15" s="21" t="str">
        <f>VLOOKUP(1,AB14:AL17,2,FALSE)</f>
        <v>Бразилия</v>
      </c>
      <c r="N15" s="26">
        <f>O15+P15+Q15</f>
        <v>0</v>
      </c>
      <c r="O15" s="26">
        <f>VLOOKUP(1,AB14:AL17,3,FALSE)</f>
        <v>0</v>
      </c>
      <c r="P15" s="26">
        <f>VLOOKUP(1,AB14:AL17,4,FALSE)</f>
        <v>0</v>
      </c>
      <c r="Q15" s="26">
        <f>VLOOKUP(1,AB14:AL17,5,FALSE)</f>
        <v>0</v>
      </c>
      <c r="R15" s="26" t="str">
        <f>VLOOKUP(1,AB14:AL17,6,FALSE) &amp; " - " &amp; VLOOKUP(1,AB14:AL17,7,FALSE)</f>
        <v>0 - 0</v>
      </c>
      <c r="S15" s="27">
        <f>O15*3+P15</f>
        <v>0</v>
      </c>
      <c r="U15" s="64">
        <f>DATE(2014,6,13)+TIME(8,0,0)+gmt_delta</f>
        <v>41804</v>
      </c>
      <c r="V15" s="70" t="str">
        <f t="shared" si="4"/>
        <v/>
      </c>
      <c r="W15" s="70" t="str">
        <f t="shared" si="2"/>
        <v/>
      </c>
      <c r="X15" s="65">
        <f t="shared" si="5"/>
        <v>0</v>
      </c>
      <c r="Y15" s="64">
        <f t="shared" si="6"/>
        <v>0</v>
      </c>
      <c r="Z15" s="64">
        <f t="shared" si="7"/>
        <v>0</v>
      </c>
      <c r="AB15" s="64">
        <f>COUNTIF(AO14:AO17,CONCATENATE("&gt;=",AO15))</f>
        <v>3</v>
      </c>
      <c r="AC15" s="65" t="str">
        <f>INDEX(T,38,lang)</f>
        <v>Хорватия</v>
      </c>
      <c r="AD15" s="64">
        <f>COUNTIF($V$13:$W$60,"=" &amp; AC15 &amp; "_win")</f>
        <v>0</v>
      </c>
      <c r="AE15" s="64">
        <f>COUNTIF($V$13:$W$60,"=" &amp; AC15 &amp; "_draw")</f>
        <v>0</v>
      </c>
      <c r="AF15" s="64">
        <f>COUNTIF($V$13:$W$60,"=" &amp; AC15 &amp; "_lose")</f>
        <v>0</v>
      </c>
      <c r="AG15" s="64">
        <f>SUMIF($E$13:$E$60,$AC15,$F$13:$F$60) + SUMIF($H$13:$H$60,$AC15,$G$13:$G$60)</f>
        <v>0</v>
      </c>
      <c r="AH15" s="64">
        <f>SUMIF($E$13:$E$60,$AC15,$G$13:$G$60) + SUMIF($H$13:$H$60,$AC15,$F$13:$F$60)</f>
        <v>0</v>
      </c>
      <c r="AI15" s="64">
        <f>(AG15-AH15)+1</f>
        <v>1</v>
      </c>
      <c r="AJ15" s="64">
        <f>AG15-AH15</f>
        <v>0</v>
      </c>
      <c r="AK15" s="64">
        <f>(AJ15-AJ19)/AJ18</f>
        <v>0</v>
      </c>
      <c r="AL15" s="64">
        <f>AD15*3+AE15</f>
        <v>0</v>
      </c>
      <c r="AM15" s="64">
        <f>AQ15/AQ18*1000+AR15/AR18*100+AU15/AU18*10+AS15/AS18</f>
        <v>0</v>
      </c>
      <c r="AN15" s="64">
        <f>VLOOKUP(AC15,db_fifarank,2,FALSE)/2000000</f>
        <v>4.3550000000000001E-4</v>
      </c>
      <c r="AO15" s="65">
        <f>1000*AL15/AL18+100*AK15+10*AG15/AG18+1*AM15/AM18+AN15</f>
        <v>4.3550000000000001E-4</v>
      </c>
      <c r="AP15" s="66" t="str">
        <f>IF(SUM(AD14:AF17)=12,M16,INDEX(T,71,lang))</f>
        <v>2A</v>
      </c>
      <c r="AQ15" s="67">
        <f>SUMPRODUCT(($V$13:$V$60=AC15&amp;"_win")*($X$13:$X$60))+SUMPRODUCT(($W$13:$W$60=AC15&amp;"_win")*($X$13:$X$60))</f>
        <v>0</v>
      </c>
      <c r="AR15" s="68">
        <f>SUMPRODUCT(($V$13:$V$60=AC15&amp;"_draw")*($X$13:$X$60))+SUMPRODUCT(($W$13:$W$60=AC15&amp;"_draw")*($X$13:$X$60))</f>
        <v>0</v>
      </c>
      <c r="AS15" s="68">
        <f>SUMPRODUCT(($E$13:$E$60=AC15)*($X$13:$X$60)*($F$13:$F$60))+SUMPRODUCT(($H$13:$H$60=AC15)*($X$13:$X$60)*($G$13:$G$60))</f>
        <v>0</v>
      </c>
      <c r="AT15" s="68">
        <f>SUMPRODUCT(($E$13:$E$60=AC15)*($X$13:$X$60)*($G$13:$G$60))+SUMPRODUCT(($H$13:$H$60=AC15)*($X$13:$X$60)*($F$13:$F$60))</f>
        <v>0</v>
      </c>
      <c r="AU15" s="68">
        <f>AS15-AT15</f>
        <v>0</v>
      </c>
    </row>
    <row r="16" spans="1:47" x14ac:dyDescent="0.2">
      <c r="A16" s="89">
        <v>4</v>
      </c>
      <c r="B16" s="90" t="str">
        <f t="shared" si="0"/>
        <v>Шанба</v>
      </c>
      <c r="C16" s="91" t="str">
        <f t="shared" si="1"/>
        <v>Июнь 14, 2014</v>
      </c>
      <c r="D16" s="92">
        <f t="shared" si="3"/>
        <v>0.125</v>
      </c>
      <c r="E16" s="93" t="str">
        <f>AC22</f>
        <v>Чили</v>
      </c>
      <c r="F16" s="54"/>
      <c r="G16" s="55"/>
      <c r="H16" s="100" t="str">
        <f>AC23</f>
        <v>Австралия</v>
      </c>
      <c r="I16" s="222" t="str">
        <f>INDEX(T,106,lang)</f>
        <v>Куритиба</v>
      </c>
      <c r="J16" s="223"/>
      <c r="K16" s="224"/>
      <c r="M16" s="22" t="str">
        <f>VLOOKUP(2,AB14:AL17,2,FALSE)</f>
        <v>Мексика</v>
      </c>
      <c r="N16" s="28">
        <f>O16+P16+Q16</f>
        <v>0</v>
      </c>
      <c r="O16" s="28">
        <f>VLOOKUP(2,AB14:AL17,3,FALSE)</f>
        <v>0</v>
      </c>
      <c r="P16" s="28">
        <f>VLOOKUP(2,AB14:AL17,4,FALSE)</f>
        <v>0</v>
      </c>
      <c r="Q16" s="28">
        <f>VLOOKUP(2,AB14:AL17,5,FALSE)</f>
        <v>0</v>
      </c>
      <c r="R16" s="28" t="str">
        <f>VLOOKUP(2,AB14:AL17,6,FALSE) &amp; " - " &amp; VLOOKUP(2,AB14:AL17,7,FALSE)</f>
        <v>0 - 0</v>
      </c>
      <c r="S16" s="29">
        <f>O16*3+P16</f>
        <v>0</v>
      </c>
      <c r="U16" s="64">
        <f>DATE(2014,6,13)+TIME(11,0,0)+gmt_delta</f>
        <v>41804.125</v>
      </c>
      <c r="V16" s="70" t="str">
        <f t="shared" si="4"/>
        <v/>
      </c>
      <c r="W16" s="70" t="str">
        <f t="shared" si="2"/>
        <v/>
      </c>
      <c r="X16" s="65">
        <f t="shared" si="5"/>
        <v>0</v>
      </c>
      <c r="Y16" s="64">
        <f t="shared" si="6"/>
        <v>0</v>
      </c>
      <c r="Z16" s="64">
        <f t="shared" si="7"/>
        <v>0</v>
      </c>
      <c r="AB16" s="64">
        <f>COUNTIF(AO14:AO17,CONCATENATE("&gt;=",AO16))</f>
        <v>2</v>
      </c>
      <c r="AC16" s="65" t="str">
        <f>INDEX(T,39,lang)</f>
        <v>Мексика</v>
      </c>
      <c r="AD16" s="64">
        <f>COUNTIF($V$13:$W$60,"=" &amp; AC16 &amp; "_win")</f>
        <v>0</v>
      </c>
      <c r="AE16" s="64">
        <f>COUNTIF($V$13:$W$60,"=" &amp; AC16 &amp; "_draw")</f>
        <v>0</v>
      </c>
      <c r="AF16" s="64">
        <f>COUNTIF($V$13:$W$60,"=" &amp; AC16 &amp; "_lose")</f>
        <v>0</v>
      </c>
      <c r="AG16" s="64">
        <f>SUMIF($E$13:$E$60,$AC16,$F$13:$F$60) + SUMIF($H$13:$H$60,$AC16,$G$13:$G$60)</f>
        <v>0</v>
      </c>
      <c r="AH16" s="64">
        <f>SUMIF($E$13:$E$60,$AC16,$G$13:$G$60) + SUMIF($H$13:$H$60,$AC16,$F$13:$F$60)</f>
        <v>0</v>
      </c>
      <c r="AI16" s="64">
        <f>(AG16-AH16)+1</f>
        <v>1</v>
      </c>
      <c r="AJ16" s="64">
        <f>AG16-AH16</f>
        <v>0</v>
      </c>
      <c r="AK16" s="64">
        <f>(AJ16-AJ19)/AJ18</f>
        <v>0</v>
      </c>
      <c r="AL16" s="64">
        <f>AD16*3+AE16</f>
        <v>0</v>
      </c>
      <c r="AM16" s="64">
        <f>AQ16/AQ18*1000+AR16/AR18*100+AU16/AU18*10+AS16/AS18</f>
        <v>0</v>
      </c>
      <c r="AN16" s="64">
        <f>VLOOKUP(AC16,db_fifarank,2,FALSE)/2000000</f>
        <v>4.3849999999999998E-4</v>
      </c>
      <c r="AO16" s="65">
        <f>1000*AL16/AL18+100*AK16+10*AG16/AG18+1*AM16/AM18+AN16</f>
        <v>4.3849999999999998E-4</v>
      </c>
      <c r="AQ16" s="67">
        <f>SUMPRODUCT(($V$13:$V$60=AC16&amp;"_win")*($X$13:$X$60))+SUMPRODUCT(($W$13:$W$60=AC16&amp;"_win")*($X$13:$X$60))</f>
        <v>0</v>
      </c>
      <c r="AR16" s="68">
        <f>SUMPRODUCT(($V$13:$V$60=AC16&amp;"_draw")*($X$13:$X$60))+SUMPRODUCT(($W$13:$W$60=AC16&amp;"_draw")*($X$13:$X$60))</f>
        <v>0</v>
      </c>
      <c r="AS16" s="68">
        <f>SUMPRODUCT(($E$13:$E$60=AC16)*($X$13:$X$60)*($F$13:$F$60))+SUMPRODUCT(($H$13:$H$60=AC16)*($X$13:$X$60)*($G$13:$G$60))</f>
        <v>0</v>
      </c>
      <c r="AT16" s="68">
        <f>SUMPRODUCT(($E$13:$E$60=AC16)*($X$13:$X$60)*($G$13:$G$60))+SUMPRODUCT(($H$13:$H$60=AC16)*($X$13:$X$60)*($F$13:$F$60))</f>
        <v>0</v>
      </c>
      <c r="AU16" s="68">
        <f>AS16-AT16</f>
        <v>0</v>
      </c>
    </row>
    <row r="17" spans="1:47" x14ac:dyDescent="0.2">
      <c r="A17" s="89">
        <v>5</v>
      </c>
      <c r="B17" s="90" t="str">
        <f t="shared" si="0"/>
        <v>Шанба</v>
      </c>
      <c r="C17" s="91" t="str">
        <f t="shared" si="1"/>
        <v>Июнь 14, 2014</v>
      </c>
      <c r="D17" s="92">
        <f t="shared" si="3"/>
        <v>0.875</v>
      </c>
      <c r="E17" s="93" t="str">
        <f>AC26</f>
        <v>Колумбия</v>
      </c>
      <c r="F17" s="54"/>
      <c r="G17" s="55"/>
      <c r="H17" s="100" t="str">
        <f>AC27</f>
        <v>Греция</v>
      </c>
      <c r="I17" s="222" t="str">
        <f>INDEX(T,103,lang)</f>
        <v>Белу Оризонти</v>
      </c>
      <c r="J17" s="223"/>
      <c r="K17" s="224"/>
      <c r="M17" s="22" t="str">
        <f>VLOOKUP(3,AB14:AL17,2,FALSE)</f>
        <v>Хорватия</v>
      </c>
      <c r="N17" s="28">
        <f>O17+P17+Q17</f>
        <v>0</v>
      </c>
      <c r="O17" s="28">
        <f>VLOOKUP(3,AB14:AL17,3,FALSE)</f>
        <v>0</v>
      </c>
      <c r="P17" s="28">
        <f>VLOOKUP(3,AB14:AL17,4,FALSE)</f>
        <v>0</v>
      </c>
      <c r="Q17" s="28">
        <f>VLOOKUP(3,AB14:AL17,5,FALSE)</f>
        <v>0</v>
      </c>
      <c r="R17" s="28" t="str">
        <f>VLOOKUP(3,AB14:AL17,6,FALSE) &amp; " - " &amp; VLOOKUP(3,AB14:AL17,7,FALSE)</f>
        <v>0 - 0</v>
      </c>
      <c r="S17" s="29">
        <f>O17*3+P17</f>
        <v>0</v>
      </c>
      <c r="U17" s="64">
        <f>DATE(2014,6,14)+TIME(5,0,0)+gmt_delta</f>
        <v>41804.875</v>
      </c>
      <c r="V17" s="70" t="str">
        <f t="shared" si="4"/>
        <v/>
      </c>
      <c r="W17" s="70" t="str">
        <f t="shared" si="2"/>
        <v/>
      </c>
      <c r="X17" s="65">
        <f t="shared" si="5"/>
        <v>0</v>
      </c>
      <c r="Y17" s="64">
        <f t="shared" si="6"/>
        <v>0</v>
      </c>
      <c r="Z17" s="64">
        <f t="shared" si="7"/>
        <v>0</v>
      </c>
      <c r="AB17" s="64">
        <f>COUNTIF(AO14:AO17,CONCATENATE("&gt;=",AO17))</f>
        <v>4</v>
      </c>
      <c r="AC17" s="65" t="str">
        <f>INDEX(T,57,lang)</f>
        <v>Камерун</v>
      </c>
      <c r="AD17" s="64">
        <f>COUNTIF($V$13:$W$60,"=" &amp; AC17 &amp; "_win")</f>
        <v>0</v>
      </c>
      <c r="AE17" s="64">
        <f>COUNTIF($V$13:$W$60,"=" &amp; AC17 &amp; "_draw")</f>
        <v>0</v>
      </c>
      <c r="AF17" s="64">
        <f>COUNTIF($V$13:$W$60,"=" &amp; AC17 &amp; "_lose")</f>
        <v>0</v>
      </c>
      <c r="AG17" s="64">
        <f>SUMIF($E$13:$E$60,$AC17,$F$13:$F$60) + SUMIF($H$13:$H$60,$AC17,$G$13:$G$60)</f>
        <v>0</v>
      </c>
      <c r="AH17" s="64">
        <f>SUMIF($E$13:$E$60,$AC17,$G$13:$G$60) + SUMIF($H$13:$H$60,$AC17,$F$13:$F$60)</f>
        <v>0</v>
      </c>
      <c r="AI17" s="64">
        <f>(AG17-AH17)+1</f>
        <v>1</v>
      </c>
      <c r="AJ17" s="64">
        <f>AG17-AH17</f>
        <v>0</v>
      </c>
      <c r="AK17" s="64">
        <f>(AJ17-AJ19)/AJ18</f>
        <v>0</v>
      </c>
      <c r="AL17" s="64">
        <f>AD17*3+AE17</f>
        <v>0</v>
      </c>
      <c r="AM17" s="64">
        <f>AQ17/AQ18*1000+AR17/AR18*100+AU17/AU18*10+AS17/AS18</f>
        <v>0</v>
      </c>
      <c r="AN17" s="64">
        <f>VLOOKUP(AC17,db_fifarank,2,FALSE)/2000000</f>
        <v>2.9149999999999998E-4</v>
      </c>
      <c r="AO17" s="65">
        <f>1000*AL17/AL18+100*AK17+10*AG17/AG18+1*AM17/AM18+AN17</f>
        <v>2.9149999999999998E-4</v>
      </c>
      <c r="AQ17" s="67">
        <f>SUMPRODUCT(($V$13:$V$60=AC17&amp;"_win")*($X$13:$X$60))+SUMPRODUCT(($W$13:$W$60=AC17&amp;"_win")*($X$13:$X$60))</f>
        <v>0</v>
      </c>
      <c r="AR17" s="68">
        <f>SUMPRODUCT(($V$13:$V$60=AC17&amp;"_draw")*($X$13:$X$60))+SUMPRODUCT(($W$13:$W$60=AC17&amp;"_draw")*($X$13:$X$60))</f>
        <v>0</v>
      </c>
      <c r="AS17" s="68">
        <f>SUMPRODUCT(($E$13:$E$60=AC17)*($X$13:$X$60)*($F$13:$F$60))+SUMPRODUCT(($H$13:$H$60=AC17)*($X$13:$X$60)*($G$13:$G$60))</f>
        <v>0</v>
      </c>
      <c r="AT17" s="68">
        <f>SUMPRODUCT(($E$13:$E$60=AC17)*($X$13:$X$60)*($G$13:$G$60))+SUMPRODUCT(($H$13:$H$60=AC17)*($X$13:$X$60)*($F$13:$F$60))</f>
        <v>0</v>
      </c>
      <c r="AU17" s="68">
        <f>AS17-AT17</f>
        <v>0</v>
      </c>
    </row>
    <row r="18" spans="1:47" x14ac:dyDescent="0.2">
      <c r="A18" s="89">
        <v>6</v>
      </c>
      <c r="B18" s="90" t="str">
        <f t="shared" si="0"/>
        <v>Якш</v>
      </c>
      <c r="C18" s="91" t="str">
        <f t="shared" si="1"/>
        <v>Июнь 15, 2014</v>
      </c>
      <c r="D18" s="92">
        <f t="shared" si="3"/>
        <v>0.25</v>
      </c>
      <c r="E18" s="93" t="str">
        <f>AC28</f>
        <v>Кот-д’Ивуар</v>
      </c>
      <c r="F18" s="54"/>
      <c r="G18" s="55"/>
      <c r="H18" s="100" t="str">
        <f>AC29</f>
        <v>Япония</v>
      </c>
      <c r="I18" s="222" t="str">
        <f>INDEX(T,111,lang)</f>
        <v>Ресифи</v>
      </c>
      <c r="J18" s="223"/>
      <c r="K18" s="224"/>
      <c r="M18" s="23" t="str">
        <f>VLOOKUP(4,AB14:AL17,2,FALSE)</f>
        <v>Камерун</v>
      </c>
      <c r="N18" s="30">
        <f>O18+P18+Q18</f>
        <v>0</v>
      </c>
      <c r="O18" s="30">
        <f>VLOOKUP(4,AB14:AL17,3,FALSE)</f>
        <v>0</v>
      </c>
      <c r="P18" s="30">
        <f>VLOOKUP(4,AB14:AL17,4,FALSE)</f>
        <v>0</v>
      </c>
      <c r="Q18" s="30">
        <f>VLOOKUP(4,AB14:AL17,5,FALSE)</f>
        <v>0</v>
      </c>
      <c r="R18" s="30" t="str">
        <f>VLOOKUP(4,AB14:AL17,6,FALSE) &amp; " - " &amp; VLOOKUP(4,AB14:AL17,7,FALSE)</f>
        <v>0 - 0</v>
      </c>
      <c r="S18" s="31">
        <f>O18*3+P18</f>
        <v>0</v>
      </c>
      <c r="U18" s="64">
        <f>DATE(2014,6,14)+TIME(14,0,0)+gmt_delta</f>
        <v>41805.25</v>
      </c>
      <c r="V18" s="70" t="str">
        <f t="shared" si="4"/>
        <v/>
      </c>
      <c r="W18" s="70" t="str">
        <f t="shared" si="2"/>
        <v/>
      </c>
      <c r="X18" s="65">
        <f t="shared" si="5"/>
        <v>0</v>
      </c>
      <c r="Y18" s="64">
        <f t="shared" si="6"/>
        <v>0</v>
      </c>
      <c r="Z18" s="64">
        <f t="shared" si="7"/>
        <v>0</v>
      </c>
      <c r="AD18" s="64">
        <f t="shared" ref="AD18:AM18" si="8">MAX(AD14:AD17)-MIN(AD14:AD17)+1</f>
        <v>1</v>
      </c>
      <c r="AE18" s="64">
        <f t="shared" si="8"/>
        <v>1</v>
      </c>
      <c r="AF18" s="64">
        <f t="shared" si="8"/>
        <v>1</v>
      </c>
      <c r="AG18" s="64">
        <f t="shared" si="8"/>
        <v>1</v>
      </c>
      <c r="AH18" s="64">
        <f t="shared" si="8"/>
        <v>1</v>
      </c>
      <c r="AI18" s="64">
        <f>MAX(AI14:AI17)-AI19+1</f>
        <v>1</v>
      </c>
      <c r="AJ18" s="64">
        <f>MAX(AJ14:AJ17)-AJ19+1</f>
        <v>1</v>
      </c>
      <c r="AL18" s="64">
        <f t="shared" si="8"/>
        <v>1</v>
      </c>
      <c r="AM18" s="64">
        <f t="shared" si="8"/>
        <v>1</v>
      </c>
      <c r="AQ18" s="64">
        <f>MAX(AQ14:AQ17)-MIN(AQ14:AQ17)+1</f>
        <v>1</v>
      </c>
      <c r="AR18" s="64">
        <f>MAX(AR14:AR17)-MIN(AR14:AR17)+1</f>
        <v>1</v>
      </c>
      <c r="AS18" s="64">
        <f>MAX(AS14:AS17)-MIN(AS14:AS17)+1</f>
        <v>1</v>
      </c>
      <c r="AT18" s="64">
        <f>MAX(AT14:AT17)-MIN(AT14:AT17)+1</f>
        <v>1</v>
      </c>
      <c r="AU18" s="64">
        <f>MAX(AU14:AU17)-MIN(AU14:AU17)+1</f>
        <v>1</v>
      </c>
    </row>
    <row r="19" spans="1:47" x14ac:dyDescent="0.2">
      <c r="A19" s="89">
        <v>7</v>
      </c>
      <c r="B19" s="90" t="str">
        <f t="shared" si="0"/>
        <v>Якш</v>
      </c>
      <c r="C19" s="91" t="str">
        <f t="shared" si="1"/>
        <v>Июнь 15, 2014</v>
      </c>
      <c r="D19" s="92">
        <f t="shared" si="3"/>
        <v>0</v>
      </c>
      <c r="E19" s="93" t="str">
        <f>AC32</f>
        <v>Уругвай</v>
      </c>
      <c r="F19" s="54"/>
      <c r="G19" s="55"/>
      <c r="H19" s="100" t="str">
        <f>AC33</f>
        <v>Коста-Рика</v>
      </c>
      <c r="I19" s="222" t="str">
        <f>INDEX(T,107,lang)</f>
        <v>Форталеза</v>
      </c>
      <c r="J19" s="223"/>
      <c r="K19" s="224"/>
      <c r="M19" s="32"/>
      <c r="N19" s="33"/>
      <c r="O19" s="33"/>
      <c r="P19" s="33"/>
      <c r="Q19" s="33"/>
      <c r="R19" s="33"/>
      <c r="S19" s="33"/>
      <c r="U19" s="64">
        <f>DATE(2014,6,14)+TIME(8,0,0)+gmt_delta</f>
        <v>41805</v>
      </c>
      <c r="V19" s="70" t="str">
        <f t="shared" si="4"/>
        <v/>
      </c>
      <c r="W19" s="70" t="str">
        <f t="shared" si="2"/>
        <v/>
      </c>
      <c r="X19" s="65">
        <f t="shared" si="5"/>
        <v>0</v>
      </c>
      <c r="Y19" s="64">
        <f t="shared" si="6"/>
        <v>0</v>
      </c>
      <c r="Z19" s="64">
        <f t="shared" si="7"/>
        <v>0</v>
      </c>
      <c r="AI19" s="64">
        <f>MIN(AI14:AI17)</f>
        <v>1</v>
      </c>
      <c r="AJ19" s="64">
        <f>MIN(AJ14:AJ17)</f>
        <v>0</v>
      </c>
    </row>
    <row r="20" spans="1:47" x14ac:dyDescent="0.2">
      <c r="A20" s="89">
        <v>8</v>
      </c>
      <c r="B20" s="90" t="str">
        <f t="shared" si="0"/>
        <v>Якш</v>
      </c>
      <c r="C20" s="91" t="str">
        <f t="shared" si="1"/>
        <v>Июнь 15, 2014</v>
      </c>
      <c r="D20" s="92">
        <f t="shared" si="3"/>
        <v>0.125</v>
      </c>
      <c r="E20" s="93" t="str">
        <f>AC34</f>
        <v>Англия</v>
      </c>
      <c r="F20" s="54"/>
      <c r="G20" s="55"/>
      <c r="H20" s="100" t="str">
        <f>AC35</f>
        <v>Италия</v>
      </c>
      <c r="I20" s="222" t="str">
        <f>INDEX(T,108,lang)</f>
        <v>Манаус</v>
      </c>
      <c r="J20" s="223"/>
      <c r="K20" s="224"/>
      <c r="M20" s="52" t="str">
        <f>INDEX(T,9,lang) &amp; " " &amp; "B"</f>
        <v>Гуруҳ B</v>
      </c>
      <c r="N20" s="53" t="str">
        <f>INDEX(T,10,lang)</f>
        <v>Ў</v>
      </c>
      <c r="O20" s="53" t="str">
        <f>INDEX(T,11,lang)</f>
        <v>Ю</v>
      </c>
      <c r="P20" s="53" t="str">
        <f>INDEX(T,12,lang)</f>
        <v>Д</v>
      </c>
      <c r="Q20" s="53" t="str">
        <f>INDEX(T,13,lang)</f>
        <v>М</v>
      </c>
      <c r="R20" s="53" t="str">
        <f>INDEX(T,14,lang)</f>
        <v>Тўп. нисб.</v>
      </c>
      <c r="S20" s="53" t="str">
        <f>INDEX(T,15,lang)</f>
        <v>Очколар</v>
      </c>
      <c r="U20" s="64">
        <f>DATE(2014,6,14)+TIME(11,0,0)+gmt_delta</f>
        <v>41805.125</v>
      </c>
      <c r="V20" s="70" t="str">
        <f t="shared" si="4"/>
        <v/>
      </c>
      <c r="W20" s="70" t="str">
        <f t="shared" si="2"/>
        <v/>
      </c>
      <c r="X20" s="65">
        <f t="shared" si="5"/>
        <v>0</v>
      </c>
      <c r="Y20" s="64">
        <f t="shared" si="6"/>
        <v>0</v>
      </c>
      <c r="Z20" s="64">
        <f t="shared" si="7"/>
        <v>0</v>
      </c>
      <c r="AB20" s="64">
        <f>COUNTIF(AO20:AO23,CONCATENATE("&gt;=",AO20))</f>
        <v>1</v>
      </c>
      <c r="AC20" s="65" t="str">
        <f>INDEX(T,66,lang)</f>
        <v>Испания</v>
      </c>
      <c r="AD20" s="64">
        <f>COUNTIF($V$13:$W$60,"=" &amp; AC20 &amp; "_win")</f>
        <v>0</v>
      </c>
      <c r="AE20" s="64">
        <f>COUNTIF($V$13:$W$60,"=" &amp; AC20 &amp; "_draw")</f>
        <v>0</v>
      </c>
      <c r="AF20" s="64">
        <f>COUNTIF($V$13:$W$60,"=" &amp; AC20 &amp; "_lose")</f>
        <v>0</v>
      </c>
      <c r="AG20" s="64">
        <f>SUMIF($E$13:$E$60,$AC20,$F$13:$F$60) + SUMIF($H$13:$H$60,$AC20,$G$13:$G$60)</f>
        <v>0</v>
      </c>
      <c r="AH20" s="64">
        <f>SUMIF($E$13:$E$60,$AC20,$G$13:$G$60) + SUMIF($H$13:$H$60,$AC20,$F$13:$F$60)</f>
        <v>0</v>
      </c>
      <c r="AI20" s="64">
        <f>(AG20-AH20)*100+AL20*10000+AG20</f>
        <v>0</v>
      </c>
      <c r="AJ20" s="64">
        <f>AG20-AH20</f>
        <v>0</v>
      </c>
      <c r="AK20" s="64">
        <f>(AJ20-AJ25)/AJ24</f>
        <v>0</v>
      </c>
      <c r="AL20" s="64">
        <f>AD20*3+AE20</f>
        <v>0</v>
      </c>
      <c r="AM20" s="64">
        <f>AQ20/AQ24*1000+AR20/AR24*100+AU20/AU24*10+AS20/AS24</f>
        <v>0</v>
      </c>
      <c r="AN20" s="64">
        <f>VLOOKUP(AC20,db_fifarank,2,FALSE)/2000000</f>
        <v>7.2999999999999996E-4</v>
      </c>
      <c r="AO20" s="65">
        <f>1000*AL20/AL24+100*AK20+10*AG20/AG24+1*AM20/AM24+AN20</f>
        <v>7.2999999999999996E-4</v>
      </c>
      <c r="AP20" s="66" t="str">
        <f>IF(SUM(AD20:AF23)=12,M21,INDEX(T,72,lang))</f>
        <v>1B</v>
      </c>
      <c r="AQ20" s="67">
        <f>SUMPRODUCT(($V$13:$V$60=AC20&amp;"_win")*($X$13:$X$60))+SUMPRODUCT(($W$13:$W$60=AC20&amp;"_win")*($X$13:$X$60))</f>
        <v>0</v>
      </c>
      <c r="AR20" s="68">
        <f>SUMPRODUCT(($V$13:$V$60=AC20&amp;"_draw")*($X$13:$X$60))+SUMPRODUCT(($W$13:$W$60=AC20&amp;"_draw")*($X$13:$X$60))</f>
        <v>0</v>
      </c>
      <c r="AS20" s="68">
        <f>SUMPRODUCT(($E$13:$E$60=AC20)*($X$13:$X$60)*($F$13:$F$60))+SUMPRODUCT(($H$13:$H$60=AC20)*($X$13:$X$60)*($G$13:$G$60))</f>
        <v>0</v>
      </c>
      <c r="AT20" s="68">
        <f>SUMPRODUCT(($E$13:$E$60=AC20)*($X$13:$X$60)*($G$13:$G$60))+SUMPRODUCT(($H$13:$H$60=AC20)*($X$13:$X$60)*($F$13:$F$60))</f>
        <v>0</v>
      </c>
      <c r="AU20" s="68">
        <f>AS20-AT20</f>
        <v>0</v>
      </c>
    </row>
    <row r="21" spans="1:47" x14ac:dyDescent="0.2">
      <c r="A21" s="89">
        <v>9</v>
      </c>
      <c r="B21" s="90" t="str">
        <f t="shared" si="0"/>
        <v>Якш</v>
      </c>
      <c r="C21" s="91" t="str">
        <f t="shared" si="1"/>
        <v>Июнь 15, 2014</v>
      </c>
      <c r="D21" s="92">
        <f t="shared" si="3"/>
        <v>0.875</v>
      </c>
      <c r="E21" s="93" t="str">
        <f>AC38</f>
        <v>Швейцария</v>
      </c>
      <c r="F21" s="54"/>
      <c r="G21" s="55"/>
      <c r="H21" s="100" t="str">
        <f>AC39</f>
        <v>Эквадор</v>
      </c>
      <c r="I21" s="222" t="str">
        <f>INDEX(T,104,lang)</f>
        <v>Бразилиа</v>
      </c>
      <c r="J21" s="223"/>
      <c r="K21" s="224"/>
      <c r="M21" s="21" t="str">
        <f>VLOOKUP(1,AB20:AL23,2,FALSE)</f>
        <v>Испания</v>
      </c>
      <c r="N21" s="26">
        <f>O21+P21+Q21</f>
        <v>0</v>
      </c>
      <c r="O21" s="26">
        <f>VLOOKUP(1,AB20:AL23,3,FALSE)</f>
        <v>0</v>
      </c>
      <c r="P21" s="26">
        <f>VLOOKUP(1,AB20:AL23,4,FALSE)</f>
        <v>0</v>
      </c>
      <c r="Q21" s="26">
        <f>VLOOKUP(1,AB20:AL23,5,FALSE)</f>
        <v>0</v>
      </c>
      <c r="R21" s="26" t="str">
        <f>VLOOKUP(1,AB20:AL23,6,FALSE) &amp; " - " &amp; VLOOKUP(1,AB20:AL23,7,FALSE)</f>
        <v>0 - 0</v>
      </c>
      <c r="S21" s="27">
        <f>O21*3+P21</f>
        <v>0</v>
      </c>
      <c r="U21" s="64">
        <f>DATE(2014,6,15)+TIME(5,0,0)+gmt_delta</f>
        <v>41805.875</v>
      </c>
      <c r="V21" s="70" t="str">
        <f t="shared" si="4"/>
        <v/>
      </c>
      <c r="W21" s="70" t="str">
        <f t="shared" si="2"/>
        <v/>
      </c>
      <c r="X21" s="65">
        <f t="shared" si="5"/>
        <v>0</v>
      </c>
      <c r="Y21" s="64">
        <f t="shared" si="6"/>
        <v>0</v>
      </c>
      <c r="Z21" s="64">
        <f t="shared" si="7"/>
        <v>0</v>
      </c>
      <c r="AB21" s="64">
        <f>COUNTIF(AO20:AO23,CONCATENATE("&gt;=",AO21))</f>
        <v>3</v>
      </c>
      <c r="AC21" s="65" t="str">
        <f>INDEX(T,54,lang)</f>
        <v>Голландия</v>
      </c>
      <c r="AD21" s="64">
        <f>COUNTIF($V$13:$W$60,"=" &amp; AC21 &amp; "_win")</f>
        <v>0</v>
      </c>
      <c r="AE21" s="64">
        <f>COUNTIF($V$13:$W$60,"=" &amp; AC21 &amp; "_draw")</f>
        <v>0</v>
      </c>
      <c r="AF21" s="64">
        <f>COUNTIF($V$13:$W$60,"=" &amp; AC21 &amp; "_lose")</f>
        <v>0</v>
      </c>
      <c r="AG21" s="64">
        <f>SUMIF($E$13:$E$60,$AC21,$F$13:$F$60) + SUMIF($H$13:$H$60,$AC21,$G$13:$G$60)</f>
        <v>0</v>
      </c>
      <c r="AH21" s="64">
        <f>SUMIF($E$13:$E$60,$AC21,$G$13:$G$60) + SUMIF($H$13:$H$60,$AC21,$F$13:$F$60)</f>
        <v>0</v>
      </c>
      <c r="AI21" s="64">
        <f>(AG21-AH21)*100+AL21*10000+AG21</f>
        <v>0</v>
      </c>
      <c r="AJ21" s="64">
        <f>AG21-AH21</f>
        <v>0</v>
      </c>
      <c r="AK21" s="64">
        <f>(AJ21-AJ25)/AJ24</f>
        <v>0</v>
      </c>
      <c r="AL21" s="64">
        <f>AD21*3+AE21</f>
        <v>0</v>
      </c>
      <c r="AM21" s="64">
        <f>AQ21/AQ24*1000+AR21/AR24*100+AU21/AU24*10+AS21/AS24</f>
        <v>0</v>
      </c>
      <c r="AN21" s="64">
        <f>VLOOKUP(AC21,db_fifarank,2,FALSE)/2000000</f>
        <v>4.8349999999999999E-4</v>
      </c>
      <c r="AO21" s="65">
        <f>1000*AL21/AL24+100*AK21+10*AG21/AG24+1*AM21/AM24+AN21</f>
        <v>4.8349999999999999E-4</v>
      </c>
      <c r="AP21" s="66" t="str">
        <f>IF(SUM(AD20:AF23)=12,M22,INDEX(T,73,lang))</f>
        <v>2B</v>
      </c>
      <c r="AQ21" s="67">
        <f>SUMPRODUCT(($V$13:$V$60=AC21&amp;"_win")*($X$13:$X$60))+SUMPRODUCT(($W$13:$W$60=AC21&amp;"_win")*($X$13:$X$60))</f>
        <v>0</v>
      </c>
      <c r="AR21" s="68">
        <f>SUMPRODUCT(($V$13:$V$60=AC21&amp;"_draw")*($X$13:$X$60))+SUMPRODUCT(($W$13:$W$60=AC21&amp;"_draw")*($X$13:$X$60))</f>
        <v>0</v>
      </c>
      <c r="AS21" s="68">
        <f>SUMPRODUCT(($E$13:$E$60=AC21)*($X$13:$X$60)*($F$13:$F$60))+SUMPRODUCT(($H$13:$H$60=AC21)*($X$13:$X$60)*($G$13:$G$60))</f>
        <v>0</v>
      </c>
      <c r="AT21" s="68">
        <f>SUMPRODUCT(($E$13:$E$60=AC21)*($X$13:$X$60)*($G$13:$G$60))+SUMPRODUCT(($H$13:$H$60=AC21)*($X$13:$X$60)*($F$13:$F$60))</f>
        <v>0</v>
      </c>
      <c r="AU21" s="68">
        <f>AS21-AT21</f>
        <v>0</v>
      </c>
    </row>
    <row r="22" spans="1:47" x14ac:dyDescent="0.2">
      <c r="A22" s="89">
        <v>10</v>
      </c>
      <c r="B22" s="90" t="str">
        <f t="shared" si="0"/>
        <v>Душ</v>
      </c>
      <c r="C22" s="91" t="str">
        <f t="shared" si="1"/>
        <v>Июнь 16, 2014</v>
      </c>
      <c r="D22" s="92">
        <f t="shared" si="3"/>
        <v>0</v>
      </c>
      <c r="E22" s="93" t="str">
        <f>AC40</f>
        <v>Франция</v>
      </c>
      <c r="F22" s="54"/>
      <c r="G22" s="55"/>
      <c r="H22" s="100" t="str">
        <f>AC41</f>
        <v>Гондурас</v>
      </c>
      <c r="I22" s="222" t="str">
        <f>INDEX(T,110,lang)</f>
        <v>Порту Алегри</v>
      </c>
      <c r="J22" s="223"/>
      <c r="K22" s="224"/>
      <c r="M22" s="22" t="str">
        <f>VLOOKUP(2,AB20:AL23,2,FALSE)</f>
        <v>Чили</v>
      </c>
      <c r="N22" s="28">
        <f>O22+P22+Q22</f>
        <v>0</v>
      </c>
      <c r="O22" s="28">
        <f>VLOOKUP(2,AB20:AL23,3,FALSE)</f>
        <v>0</v>
      </c>
      <c r="P22" s="28">
        <f>VLOOKUP(2,AB20:AL23,4,FALSE)</f>
        <v>0</v>
      </c>
      <c r="Q22" s="28">
        <f>VLOOKUP(2,AB20:AL23,5,FALSE)</f>
        <v>0</v>
      </c>
      <c r="R22" s="28" t="str">
        <f>VLOOKUP(2,AB20:AL23,6,FALSE) &amp; " - " &amp; VLOOKUP(2,AB20:AL23,7,FALSE)</f>
        <v>0 - 0</v>
      </c>
      <c r="S22" s="29">
        <f>O22*3+P22</f>
        <v>0</v>
      </c>
      <c r="U22" s="64">
        <f>DATE(2014,6,15)+TIME(8,0,0)+gmt_delta</f>
        <v>41806</v>
      </c>
      <c r="V22" s="70" t="str">
        <f t="shared" si="4"/>
        <v/>
      </c>
      <c r="W22" s="70" t="str">
        <f t="shared" si="2"/>
        <v/>
      </c>
      <c r="X22" s="65">
        <f t="shared" si="5"/>
        <v>0</v>
      </c>
      <c r="Y22" s="64">
        <f t="shared" si="6"/>
        <v>0</v>
      </c>
      <c r="Z22" s="64">
        <f t="shared" si="7"/>
        <v>0</v>
      </c>
      <c r="AB22" s="64">
        <f>COUNTIF(AO20:AO23,CONCATENATE("&gt;=",AO22))</f>
        <v>2</v>
      </c>
      <c r="AC22" s="65" t="str">
        <f>INDEX(T,69,lang)</f>
        <v>Чили</v>
      </c>
      <c r="AD22" s="64">
        <f>COUNTIF($V$13:$W$60,"=" &amp; AC22 &amp; "_win")</f>
        <v>0</v>
      </c>
      <c r="AE22" s="64">
        <f>COUNTIF($V$13:$W$60,"=" &amp; AC22 &amp; "_draw")</f>
        <v>0</v>
      </c>
      <c r="AF22" s="64">
        <f>COUNTIF($V$13:$W$60,"=" &amp; AC22 &amp; "_lose")</f>
        <v>0</v>
      </c>
      <c r="AG22" s="64">
        <f>SUMIF($E$13:$E$60,$AC22,$F$13:$F$60) + SUMIF($H$13:$H$60,$AC22,$G$13:$G$60)</f>
        <v>0</v>
      </c>
      <c r="AH22" s="64">
        <f>SUMIF($E$13:$E$60,$AC22,$G$13:$G$60) + SUMIF($H$13:$H$60,$AC22,$F$13:$F$60)</f>
        <v>0</v>
      </c>
      <c r="AI22" s="64">
        <f>(AG22-AH22)*100+AL22*10000+AG22</f>
        <v>0</v>
      </c>
      <c r="AJ22" s="64">
        <f>AG22-AH22</f>
        <v>0</v>
      </c>
      <c r="AK22" s="64">
        <f>(AJ22-AJ25)/AJ24</f>
        <v>0</v>
      </c>
      <c r="AL22" s="64">
        <f>AD22*3+AE22</f>
        <v>0</v>
      </c>
      <c r="AM22" s="64">
        <f>AQ22/AQ24*1000+AR22/AR24*100+AU22/AU24*10+AS22/AS24</f>
        <v>0</v>
      </c>
      <c r="AN22" s="64">
        <f>VLOOKUP(AC22,db_fifarank,2,FALSE)/2000000</f>
        <v>5.1849999999999997E-4</v>
      </c>
      <c r="AO22" s="65">
        <f>1000*AL22/AL24+100*AK22+10*AG22/AG24+1*AM22/AM24+AN22</f>
        <v>5.1849999999999997E-4</v>
      </c>
      <c r="AQ22" s="67">
        <f>SUMPRODUCT(($V$13:$V$60=AC22&amp;"_win")*($X$13:$X$60))+SUMPRODUCT(($W$13:$W$60=AC22&amp;"_win")*($X$13:$X$60))</f>
        <v>0</v>
      </c>
      <c r="AR22" s="68">
        <f>SUMPRODUCT(($V$13:$V$60=AC22&amp;"_draw")*($X$13:$X$60))+SUMPRODUCT(($W$13:$W$60=AC22&amp;"_draw")*($X$13:$X$60))</f>
        <v>0</v>
      </c>
      <c r="AS22" s="68">
        <f>SUMPRODUCT(($E$13:$E$60=AC22)*($X$13:$X$60)*($F$13:$F$60))+SUMPRODUCT(($H$13:$H$60=AC22)*($X$13:$X$60)*($G$13:$G$60))</f>
        <v>0</v>
      </c>
      <c r="AT22" s="68">
        <f>SUMPRODUCT(($E$13:$E$60=AC22)*($X$13:$X$60)*($G$13:$G$60))+SUMPRODUCT(($H$13:$H$60=AC22)*($X$13:$X$60)*($F$13:$F$60))</f>
        <v>0</v>
      </c>
      <c r="AU22" s="68">
        <f>AS22-AT22</f>
        <v>0</v>
      </c>
    </row>
    <row r="23" spans="1:47" x14ac:dyDescent="0.2">
      <c r="A23" s="89">
        <v>11</v>
      </c>
      <c r="B23" s="90" t="str">
        <f t="shared" si="0"/>
        <v>Душ</v>
      </c>
      <c r="C23" s="91" t="str">
        <f t="shared" si="1"/>
        <v>Июнь 16, 2014</v>
      </c>
      <c r="D23" s="92">
        <f t="shared" si="3"/>
        <v>0.125</v>
      </c>
      <c r="E23" s="93" t="str">
        <f>AC44</f>
        <v>Аргентина</v>
      </c>
      <c r="F23" s="54"/>
      <c r="G23" s="55"/>
      <c r="H23" s="100" t="str">
        <f>AC45</f>
        <v>Босния ва Герцеговина</v>
      </c>
      <c r="I23" s="222" t="str">
        <f>INDEX(T,112,lang)</f>
        <v>Рио де Жанейро</v>
      </c>
      <c r="J23" s="223"/>
      <c r="K23" s="224"/>
      <c r="M23" s="22" t="str">
        <f>VLOOKUP(3,AB20:AL23,2,FALSE)</f>
        <v>Голландия</v>
      </c>
      <c r="N23" s="28">
        <f>O23+P23+Q23</f>
        <v>0</v>
      </c>
      <c r="O23" s="28">
        <f>VLOOKUP(3,AB20:AL23,3,FALSE)</f>
        <v>0</v>
      </c>
      <c r="P23" s="28">
        <f>VLOOKUP(3,AB20:AL23,4,FALSE)</f>
        <v>0</v>
      </c>
      <c r="Q23" s="28">
        <f>VLOOKUP(3,AB20:AL23,5,FALSE)</f>
        <v>0</v>
      </c>
      <c r="R23" s="28" t="str">
        <f>VLOOKUP(3,AB20:AL23,6,FALSE) &amp; " - " &amp; VLOOKUP(3,AB20:AL23,7,FALSE)</f>
        <v>0 - 0</v>
      </c>
      <c r="S23" s="29">
        <f>O23*3+P23</f>
        <v>0</v>
      </c>
      <c r="U23" s="64">
        <f>DATE(2014,6,15)+TIME(11,0,0)+gmt_delta</f>
        <v>41806.125</v>
      </c>
      <c r="V23" s="70" t="str">
        <f t="shared" si="4"/>
        <v/>
      </c>
      <c r="W23" s="70" t="str">
        <f t="shared" si="2"/>
        <v/>
      </c>
      <c r="X23" s="65">
        <f t="shared" si="5"/>
        <v>0</v>
      </c>
      <c r="Y23" s="64">
        <f t="shared" si="6"/>
        <v>0</v>
      </c>
      <c r="Z23" s="64">
        <f t="shared" si="7"/>
        <v>0</v>
      </c>
      <c r="AB23" s="64">
        <f>COUNTIF(AO20:AO23,CONCATENATE("&gt;=",AO23))</f>
        <v>4</v>
      </c>
      <c r="AC23" s="65" t="str">
        <f>INDEX(T,51,lang)</f>
        <v>Австралия</v>
      </c>
      <c r="AD23" s="64">
        <f>COUNTIF($V$13:$W$60,"=" &amp; AC23 &amp; "_win")</f>
        <v>0</v>
      </c>
      <c r="AE23" s="64">
        <f>COUNTIF($V$13:$W$60,"=" &amp; AC23 &amp; "_draw")</f>
        <v>0</v>
      </c>
      <c r="AF23" s="64">
        <f>COUNTIF($V$13:$W$60,"=" &amp; AC23 &amp; "_lose")</f>
        <v>0</v>
      </c>
      <c r="AG23" s="64">
        <f>SUMIF($E$13:$E$60,$AC23,$F$13:$F$60) + SUMIF($H$13:$H$60,$AC23,$G$13:$G$60)</f>
        <v>0</v>
      </c>
      <c r="AH23" s="64">
        <f>SUMIF($E$13:$E$60,$AC23,$G$13:$G$60) + SUMIF($H$13:$H$60,$AC23,$F$13:$F$60)</f>
        <v>0</v>
      </c>
      <c r="AI23" s="64">
        <f>(AG23-AH23)*100+AL23*10000+AG23</f>
        <v>0</v>
      </c>
      <c r="AJ23" s="64">
        <f>AG23-AH23</f>
        <v>0</v>
      </c>
      <c r="AK23" s="64">
        <f>(AJ23-AJ25)/AJ24</f>
        <v>0</v>
      </c>
      <c r="AL23" s="64">
        <f>AD23*3+AE23</f>
        <v>0</v>
      </c>
      <c r="AM23" s="64">
        <f>AQ23/AQ24*1000+AR23/AR24*100+AU23/AU24*10+AS23/AS24</f>
        <v>0</v>
      </c>
      <c r="AN23" s="64">
        <f>VLOOKUP(AC23,db_fifarank,2,FALSE)/2000000</f>
        <v>3.3649999999999999E-4</v>
      </c>
      <c r="AO23" s="65">
        <f>1000*AL23/AL24+100*AK23+10*AG23/AG24+1*AM23/AM24+AN23</f>
        <v>3.3649999999999999E-4</v>
      </c>
      <c r="AQ23" s="67">
        <f>SUMPRODUCT(($V$13:$V$60=AC23&amp;"_win")*($X$13:$X$60))+SUMPRODUCT(($W$13:$W$60=AC23&amp;"_win")*($X$13:$X$60))</f>
        <v>0</v>
      </c>
      <c r="AR23" s="68">
        <f>SUMPRODUCT(($V$13:$V$60=AC23&amp;"_draw")*($X$13:$X$60))+SUMPRODUCT(($W$13:$W$60=AC23&amp;"_draw")*($X$13:$X$60))</f>
        <v>0</v>
      </c>
      <c r="AS23" s="68">
        <f>SUMPRODUCT(($E$13:$E$60=AC23)*($X$13:$X$60)*($F$13:$F$60))+SUMPRODUCT(($H$13:$H$60=AC23)*($X$13:$X$60)*($G$13:$G$60))</f>
        <v>0</v>
      </c>
      <c r="AT23" s="68">
        <f>SUMPRODUCT(($E$13:$E$60=AC23)*($X$13:$X$60)*($G$13:$G$60))+SUMPRODUCT(($H$13:$H$60=AC23)*($X$13:$X$60)*($F$13:$F$60))</f>
        <v>0</v>
      </c>
      <c r="AU23" s="68">
        <f>AS23-AT23</f>
        <v>0</v>
      </c>
    </row>
    <row r="24" spans="1:47" x14ac:dyDescent="0.2">
      <c r="A24" s="89">
        <v>12</v>
      </c>
      <c r="B24" s="90" t="str">
        <f t="shared" si="0"/>
        <v>Душ</v>
      </c>
      <c r="C24" s="91" t="str">
        <f t="shared" si="1"/>
        <v>Июнь 16, 2014</v>
      </c>
      <c r="D24" s="92">
        <f t="shared" si="3"/>
        <v>0.875</v>
      </c>
      <c r="E24" s="93" t="str">
        <f>AC50</f>
        <v>Германия</v>
      </c>
      <c r="F24" s="54"/>
      <c r="G24" s="55"/>
      <c r="H24" s="100" t="str">
        <f>AC51</f>
        <v>Португалия</v>
      </c>
      <c r="I24" s="222" t="str">
        <f>INDEX(T,113,lang)</f>
        <v>Сальвадор</v>
      </c>
      <c r="J24" s="223"/>
      <c r="K24" s="224"/>
      <c r="M24" s="23" t="str">
        <f>VLOOKUP(4,AB20:AL23,2,FALSE)</f>
        <v>Австралия</v>
      </c>
      <c r="N24" s="30">
        <f>O24+P24+Q24</f>
        <v>0</v>
      </c>
      <c r="O24" s="30">
        <f>VLOOKUP(4,AB20:AL23,3,FALSE)</f>
        <v>0</v>
      </c>
      <c r="P24" s="30">
        <f>VLOOKUP(4,AB20:AL23,4,FALSE)</f>
        <v>0</v>
      </c>
      <c r="Q24" s="30">
        <f>VLOOKUP(4,AB20:AL23,5,FALSE)</f>
        <v>0</v>
      </c>
      <c r="R24" s="30" t="str">
        <f>VLOOKUP(4,AB20:AL23,6,FALSE) &amp; " - " &amp; VLOOKUP(4,AB20:AL23,7,FALSE)</f>
        <v>0 - 0</v>
      </c>
      <c r="S24" s="31">
        <f>O24*3+P24</f>
        <v>0</v>
      </c>
      <c r="U24" s="64">
        <f>DATE(2014,6,16)+TIME(5,0,0)+gmt_delta</f>
        <v>41806.875</v>
      </c>
      <c r="V24" s="70" t="str">
        <f t="shared" si="4"/>
        <v/>
      </c>
      <c r="W24" s="70" t="str">
        <f t="shared" si="2"/>
        <v/>
      </c>
      <c r="X24" s="65">
        <f t="shared" si="5"/>
        <v>0</v>
      </c>
      <c r="Y24" s="64">
        <f t="shared" si="6"/>
        <v>0</v>
      </c>
      <c r="Z24" s="64">
        <f t="shared" si="7"/>
        <v>0</v>
      </c>
      <c r="AD24" s="64">
        <f t="shared" ref="AD24:AM24" si="9">MAX(AD20:AD23)-MIN(AD20:AD23)+1</f>
        <v>1</v>
      </c>
      <c r="AE24" s="64">
        <f t="shared" si="9"/>
        <v>1</v>
      </c>
      <c r="AF24" s="64">
        <f t="shared" si="9"/>
        <v>1</v>
      </c>
      <c r="AG24" s="64">
        <f t="shared" si="9"/>
        <v>1</v>
      </c>
      <c r="AH24" s="64">
        <f t="shared" si="9"/>
        <v>1</v>
      </c>
      <c r="AI24" s="64">
        <f>MAX(AI20:AI23)-AI25+1</f>
        <v>1</v>
      </c>
      <c r="AJ24" s="64">
        <f>MAX(AJ20:AJ23)-AJ25+1</f>
        <v>1</v>
      </c>
      <c r="AL24" s="64">
        <f t="shared" si="9"/>
        <v>1</v>
      </c>
      <c r="AM24" s="64">
        <f t="shared" si="9"/>
        <v>1</v>
      </c>
      <c r="AQ24" s="64">
        <f>MAX(AQ20:AQ23)-MIN(AQ20:AQ23)+1</f>
        <v>1</v>
      </c>
      <c r="AR24" s="64">
        <f>MAX(AR20:AR23)-MIN(AR20:AR23)+1</f>
        <v>1</v>
      </c>
      <c r="AS24" s="64">
        <f>MAX(AS20:AS23)-MIN(AS20:AS23)+1</f>
        <v>1</v>
      </c>
      <c r="AT24" s="64">
        <f>MAX(AT20:AT23)-MIN(AT20:AT23)+1</f>
        <v>1</v>
      </c>
      <c r="AU24" s="64">
        <f>MAX(AU20:AU23)-MIN(AU20:AU23)+1</f>
        <v>1</v>
      </c>
    </row>
    <row r="25" spans="1:47" x14ac:dyDescent="0.2">
      <c r="A25" s="89">
        <v>13</v>
      </c>
      <c r="B25" s="90" t="str">
        <f t="shared" si="0"/>
        <v>Сеш</v>
      </c>
      <c r="C25" s="91" t="str">
        <f t="shared" si="1"/>
        <v>Июнь 17, 2014</v>
      </c>
      <c r="D25" s="92">
        <f t="shared" si="3"/>
        <v>0</v>
      </c>
      <c r="E25" s="93" t="str">
        <f>AC46</f>
        <v>Эрон</v>
      </c>
      <c r="F25" s="54"/>
      <c r="G25" s="55"/>
      <c r="H25" s="100" t="str">
        <f>AC47</f>
        <v>Нигерия</v>
      </c>
      <c r="I25" s="222" t="str">
        <f>INDEX(T,106,lang)</f>
        <v>Куритиба</v>
      </c>
      <c r="J25" s="223"/>
      <c r="K25" s="224"/>
      <c r="M25" s="32"/>
      <c r="N25" s="33"/>
      <c r="O25" s="33"/>
      <c r="P25" s="33"/>
      <c r="Q25" s="33"/>
      <c r="R25" s="33"/>
      <c r="S25" s="33"/>
      <c r="U25" s="64">
        <f>DATE(2014,6,16)+TIME(8,0,0)+gmt_delta</f>
        <v>41807</v>
      </c>
      <c r="V25" s="70" t="str">
        <f t="shared" si="4"/>
        <v/>
      </c>
      <c r="W25" s="70" t="str">
        <f t="shared" si="2"/>
        <v/>
      </c>
      <c r="X25" s="65">
        <f t="shared" si="5"/>
        <v>0</v>
      </c>
      <c r="Y25" s="64">
        <f t="shared" si="6"/>
        <v>0</v>
      </c>
      <c r="Z25" s="64">
        <f t="shared" si="7"/>
        <v>0</v>
      </c>
      <c r="AI25" s="64">
        <f>MIN(AI20:AI23)</f>
        <v>0</v>
      </c>
      <c r="AJ25" s="64">
        <f>MIN(AJ20:AJ23)</f>
        <v>0</v>
      </c>
    </row>
    <row r="26" spans="1:47" x14ac:dyDescent="0.2">
      <c r="A26" s="89">
        <v>14</v>
      </c>
      <c r="B26" s="90" t="str">
        <f t="shared" si="0"/>
        <v>Сеш</v>
      </c>
      <c r="C26" s="91" t="str">
        <f t="shared" si="1"/>
        <v>Июнь 17, 2014</v>
      </c>
      <c r="D26" s="92">
        <f t="shared" si="3"/>
        <v>0.125</v>
      </c>
      <c r="E26" s="93" t="str">
        <f>AC52</f>
        <v>Гана</v>
      </c>
      <c r="F26" s="54"/>
      <c r="G26" s="55"/>
      <c r="H26" s="100" t="str">
        <f>AC53</f>
        <v>АҚШ</v>
      </c>
      <c r="I26" s="222" t="str">
        <f>INDEX(T,109,lang)</f>
        <v>Натал</v>
      </c>
      <c r="J26" s="223"/>
      <c r="K26" s="224"/>
      <c r="M26" s="52" t="str">
        <f>INDEX(T,9,lang) &amp; " " &amp; "C"</f>
        <v>Гуруҳ C</v>
      </c>
      <c r="N26" s="53" t="str">
        <f>INDEX(T,10,lang)</f>
        <v>Ў</v>
      </c>
      <c r="O26" s="53" t="str">
        <f>INDEX(T,11,lang)</f>
        <v>Ю</v>
      </c>
      <c r="P26" s="53" t="str">
        <f>INDEX(T,12,lang)</f>
        <v>Д</v>
      </c>
      <c r="Q26" s="53" t="str">
        <f>INDEX(T,13,lang)</f>
        <v>М</v>
      </c>
      <c r="R26" s="53" t="str">
        <f>INDEX(T,14,lang)</f>
        <v>Тўп. нисб.</v>
      </c>
      <c r="S26" s="53" t="str">
        <f>INDEX(T,15,lang)</f>
        <v>Очколар</v>
      </c>
      <c r="U26" s="64">
        <f>DATE(2014,6,16)+TIME(11,0,0)+gmt_delta</f>
        <v>41807.125</v>
      </c>
      <c r="V26" s="70" t="str">
        <f t="shared" si="4"/>
        <v/>
      </c>
      <c r="W26" s="70" t="str">
        <f t="shared" si="2"/>
        <v/>
      </c>
      <c r="X26" s="65">
        <f t="shared" si="5"/>
        <v>0</v>
      </c>
      <c r="Y26" s="64">
        <f t="shared" si="6"/>
        <v>0</v>
      </c>
      <c r="Z26" s="64">
        <f t="shared" si="7"/>
        <v>0</v>
      </c>
      <c r="AB26" s="64">
        <f>COUNTIF(AO26:AO29,CONCATENATE("&gt;=",AO26))</f>
        <v>1</v>
      </c>
      <c r="AC26" s="65" t="str">
        <f>INDEX(T,52,lang)</f>
        <v>Колумбия</v>
      </c>
      <c r="AD26" s="64">
        <f>COUNTIF($V$13:$W$60,"=" &amp; AC26 &amp; "_win")</f>
        <v>0</v>
      </c>
      <c r="AE26" s="64">
        <f>COUNTIF($V$13:$W$60,"=" &amp; AC26 &amp; "_draw")</f>
        <v>0</v>
      </c>
      <c r="AF26" s="64">
        <f>COUNTIF($V$13:$W$60,"=" &amp; AC26 &amp; "_lose")</f>
        <v>0</v>
      </c>
      <c r="AG26" s="64">
        <f>SUMIF($E$13:$E$60,$AC26,$F$13:$F$60) + SUMIF($H$13:$H$60,$AC26,$G$13:$G$60)</f>
        <v>0</v>
      </c>
      <c r="AH26" s="64">
        <f>SUMIF($E$13:$E$60,$AC26,$G$13:$G$60) + SUMIF($H$13:$H$60,$AC26,$F$13:$F$60)</f>
        <v>0</v>
      </c>
      <c r="AI26" s="64">
        <f>(AG26-AH26)*100+AL26*10000+AG26</f>
        <v>0</v>
      </c>
      <c r="AJ26" s="64">
        <f>AG26-AH26</f>
        <v>0</v>
      </c>
      <c r="AK26" s="64">
        <f>(AJ26-AJ31)/AJ30</f>
        <v>0</v>
      </c>
      <c r="AL26" s="64">
        <f>AD26*3+AE26</f>
        <v>0</v>
      </c>
      <c r="AM26" s="64">
        <f>AQ26/AQ30*1000+AR26/AR30*100+AU26/AU30*10+AS26/AS30</f>
        <v>0</v>
      </c>
      <c r="AN26" s="64">
        <f>VLOOKUP(AC26,db_fifarank,2,FALSE)/2000000</f>
        <v>5.9299999999999999E-4</v>
      </c>
      <c r="AO26" s="65">
        <f>1000*AL26/AL30+100*AK26+10*AG26/AG30+1*AM26/AM30+AN26</f>
        <v>5.9299999999999999E-4</v>
      </c>
      <c r="AP26" s="66" t="str">
        <f>IF(SUM(AD26:AF29)=12,M27,INDEX(T,74,lang))</f>
        <v>1C</v>
      </c>
      <c r="AQ26" s="67">
        <f>SUMPRODUCT(($V$13:$V$60=AC26&amp;"_win")*($X$13:$X$60))+SUMPRODUCT(($W$13:$W$60=AC26&amp;"_win")*($X$13:$X$60))</f>
        <v>0</v>
      </c>
      <c r="AR26" s="68">
        <f>SUMPRODUCT(($V$13:$V$60=AC26&amp;"_draw")*($X$13:$X$60))+SUMPRODUCT(($W$13:$W$60=AC26&amp;"_draw")*($X$13:$X$60))</f>
        <v>0</v>
      </c>
      <c r="AS26" s="68">
        <f>SUMPRODUCT(($E$13:$E$60=AC26)*($X$13:$X$60)*($F$13:$F$60))+SUMPRODUCT(($H$13:$H$60=AC26)*($X$13:$X$60)*($G$13:$G$60))</f>
        <v>0</v>
      </c>
      <c r="AT26" s="68">
        <f>SUMPRODUCT(($E$13:$E$60=AC26)*($X$13:$X$60)*($G$13:$G$60))+SUMPRODUCT(($H$13:$H$60=AC26)*($X$13:$X$60)*($F$13:$F$60))</f>
        <v>0</v>
      </c>
      <c r="AU26" s="68">
        <f>AS26-AT26</f>
        <v>0</v>
      </c>
    </row>
    <row r="27" spans="1:47" x14ac:dyDescent="0.2">
      <c r="A27" s="89">
        <v>15</v>
      </c>
      <c r="B27" s="90" t="str">
        <f t="shared" si="0"/>
        <v>Сеш</v>
      </c>
      <c r="C27" s="91" t="str">
        <f t="shared" si="1"/>
        <v>Июнь 17, 2014</v>
      </c>
      <c r="D27" s="92">
        <f t="shared" si="3"/>
        <v>0.875</v>
      </c>
      <c r="E27" s="93" t="str">
        <f>AC56</f>
        <v>Бельгия</v>
      </c>
      <c r="F27" s="54"/>
      <c r="G27" s="55"/>
      <c r="H27" s="100" t="str">
        <f>AC57</f>
        <v>Жазоир</v>
      </c>
      <c r="I27" s="222" t="str">
        <f>INDEX(T,103,lang)</f>
        <v>Белу Оризонти</v>
      </c>
      <c r="J27" s="223"/>
      <c r="K27" s="224"/>
      <c r="M27" s="21" t="str">
        <f>VLOOKUP(1,AB26:AL29,2,FALSE)</f>
        <v>Колумбия</v>
      </c>
      <c r="N27" s="26">
        <f>O27+P27+Q27</f>
        <v>0</v>
      </c>
      <c r="O27" s="26">
        <f>VLOOKUP(1,AB26:AL29,3,FALSE)</f>
        <v>0</v>
      </c>
      <c r="P27" s="26">
        <f>VLOOKUP(1,AB26:AL29,4,FALSE)</f>
        <v>0</v>
      </c>
      <c r="Q27" s="26">
        <f>VLOOKUP(1,AB26:AL29,5,FALSE)</f>
        <v>0</v>
      </c>
      <c r="R27" s="26" t="str">
        <f>VLOOKUP(1,AB26:AL29,6,FALSE) &amp; " - " &amp; VLOOKUP(1,AB26:AL29,7,FALSE)</f>
        <v>0 - 0</v>
      </c>
      <c r="S27" s="27">
        <f>O27*3+P27</f>
        <v>0</v>
      </c>
      <c r="U27" s="64">
        <f>DATE(2014,6,17)+TIME(5,0,0)+gmt_delta</f>
        <v>41807.875</v>
      </c>
      <c r="V27" s="70" t="str">
        <f t="shared" si="4"/>
        <v/>
      </c>
      <c r="W27" s="70" t="str">
        <f t="shared" si="2"/>
        <v/>
      </c>
      <c r="X27" s="65">
        <f t="shared" si="5"/>
        <v>0</v>
      </c>
      <c r="Y27" s="64">
        <f t="shared" si="6"/>
        <v>0</v>
      </c>
      <c r="Z27" s="64">
        <f t="shared" si="7"/>
        <v>0</v>
      </c>
      <c r="AB27" s="64">
        <f>COUNTIF(AO26:AO29,CONCATENATE("&gt;=",AO27))</f>
        <v>2</v>
      </c>
      <c r="AC27" s="65" t="str">
        <f>INDEX(T,45,lang)</f>
        <v>Греция</v>
      </c>
      <c r="AD27" s="64">
        <f>COUNTIF($V$13:$W$60,"=" &amp; AC27 &amp; "_win")</f>
        <v>0</v>
      </c>
      <c r="AE27" s="64">
        <f>COUNTIF($V$13:$W$60,"=" &amp; AC27 &amp; "_draw")</f>
        <v>0</v>
      </c>
      <c r="AF27" s="64">
        <f>COUNTIF($V$13:$W$60,"=" &amp; AC27 &amp; "_lose")</f>
        <v>0</v>
      </c>
      <c r="AG27" s="64">
        <f>SUMIF($E$13:$E$60,$AC27,$F$13:$F$60) + SUMIF($H$13:$H$60,$AC27,$G$13:$G$60)</f>
        <v>0</v>
      </c>
      <c r="AH27" s="64">
        <f>SUMIF($E$13:$E$60,$AC27,$G$13:$G$60) + SUMIF($H$13:$H$60,$AC27,$F$13:$F$60)</f>
        <v>0</v>
      </c>
      <c r="AI27" s="64">
        <f>(AG27-AH27)*100+AL27*10000+AG27</f>
        <v>0</v>
      </c>
      <c r="AJ27" s="64">
        <f>AG27-AH27</f>
        <v>0</v>
      </c>
      <c r="AK27" s="64">
        <f>(AJ27-AJ31)/AJ30</f>
        <v>0</v>
      </c>
      <c r="AL27" s="64">
        <f>AD27*3+AE27</f>
        <v>0</v>
      </c>
      <c r="AM27" s="64">
        <f>AQ27/AQ30*1000+AR27/AR30*100+AU27/AU30*10+AS27/AS30</f>
        <v>0</v>
      </c>
      <c r="AN27" s="64">
        <f>VLOOKUP(AC27,db_fifarank,2,FALSE)/2000000</f>
        <v>5.4100000000000003E-4</v>
      </c>
      <c r="AO27" s="65">
        <f>1000*AL27/AL30+100*AK27+10*AG27/AG30+1*AM27/AM30+AN27</f>
        <v>5.4100000000000003E-4</v>
      </c>
      <c r="AP27" s="66" t="str">
        <f>IF(SUM(AD26:AF29)=12,M28,INDEX(T,75,lang))</f>
        <v>2C</v>
      </c>
      <c r="AQ27" s="67">
        <f>SUMPRODUCT(($V$13:$V$60=AC27&amp;"_win")*($X$13:$X$60))+SUMPRODUCT(($W$13:$W$60=AC27&amp;"_win")*($X$13:$X$60))</f>
        <v>0</v>
      </c>
      <c r="AR27" s="68">
        <f>SUMPRODUCT(($V$13:$V$60=AC27&amp;"_draw")*($X$13:$X$60))+SUMPRODUCT(($W$13:$W$60=AC27&amp;"_draw")*($X$13:$X$60))</f>
        <v>0</v>
      </c>
      <c r="AS27" s="68">
        <f>SUMPRODUCT(($E$13:$E$60=AC27)*($X$13:$X$60)*($F$13:$F$60))+SUMPRODUCT(($H$13:$H$60=AC27)*($X$13:$X$60)*($G$13:$G$60))</f>
        <v>0</v>
      </c>
      <c r="AT27" s="68">
        <f>SUMPRODUCT(($E$13:$E$60=AC27)*($X$13:$X$60)*($G$13:$G$60))+SUMPRODUCT(($H$13:$H$60=AC27)*($X$13:$X$60)*($F$13:$F$60))</f>
        <v>0</v>
      </c>
      <c r="AU27" s="68">
        <f>AS27-AT27</f>
        <v>0</v>
      </c>
    </row>
    <row r="28" spans="1:47" x14ac:dyDescent="0.2">
      <c r="A28" s="89">
        <v>16</v>
      </c>
      <c r="B28" s="90" t="str">
        <f t="shared" si="0"/>
        <v>Чор</v>
      </c>
      <c r="C28" s="91" t="str">
        <f t="shared" si="1"/>
        <v>Июнь 18, 2014</v>
      </c>
      <c r="D28" s="92">
        <f t="shared" si="3"/>
        <v>0</v>
      </c>
      <c r="E28" s="93" t="str">
        <f>AC14</f>
        <v>Бразилия</v>
      </c>
      <c r="F28" s="54"/>
      <c r="G28" s="55"/>
      <c r="H28" s="100" t="str">
        <f>AC16</f>
        <v>Мексика</v>
      </c>
      <c r="I28" s="222" t="str">
        <f>INDEX(T,107,lang)</f>
        <v>Форталеза</v>
      </c>
      <c r="J28" s="223"/>
      <c r="K28" s="224"/>
      <c r="M28" s="22" t="str">
        <f>VLOOKUP(2,AB26:AL29,2,FALSE)</f>
        <v>Греция</v>
      </c>
      <c r="N28" s="28">
        <f>O28+P28+Q28</f>
        <v>0</v>
      </c>
      <c r="O28" s="28">
        <f>VLOOKUP(2,AB26:AL29,3,FALSE)</f>
        <v>0</v>
      </c>
      <c r="P28" s="28">
        <f>VLOOKUP(2,AB26:AL29,4,FALSE)</f>
        <v>0</v>
      </c>
      <c r="Q28" s="28">
        <f>VLOOKUP(2,AB26:AL29,5,FALSE)</f>
        <v>0</v>
      </c>
      <c r="R28" s="28" t="str">
        <f>VLOOKUP(2,AB26:AL29,6,FALSE) &amp; " - " &amp; VLOOKUP(2,AB26:AL29,7,FALSE)</f>
        <v>0 - 0</v>
      </c>
      <c r="S28" s="29">
        <f>O28*3+P28</f>
        <v>0</v>
      </c>
      <c r="U28" s="64">
        <f>DATE(2014,6,17)+TIME(8,0,0)+gmt_delta</f>
        <v>41808</v>
      </c>
      <c r="V28" s="70" t="str">
        <f t="shared" si="4"/>
        <v/>
      </c>
      <c r="W28" s="70" t="str">
        <f t="shared" si="2"/>
        <v/>
      </c>
      <c r="X28" s="65">
        <f t="shared" si="5"/>
        <v>0</v>
      </c>
      <c r="Y28" s="64">
        <f t="shared" si="6"/>
        <v>0</v>
      </c>
      <c r="Z28" s="64">
        <f t="shared" si="7"/>
        <v>0</v>
      </c>
      <c r="AB28" s="64">
        <f>COUNTIF(AO26:AO29,CONCATENATE("&gt;=",AO28))</f>
        <v>3</v>
      </c>
      <c r="AC28" s="65" t="str">
        <f>INDEX(T,64,lang)</f>
        <v>Кот-д’Ивуар</v>
      </c>
      <c r="AD28" s="64">
        <f>COUNTIF($V$13:$W$60,"=" &amp; AC28 &amp; "_win")</f>
        <v>0</v>
      </c>
      <c r="AE28" s="64">
        <f>COUNTIF($V$13:$W$60,"=" &amp; AC28 &amp; "_draw")</f>
        <v>0</v>
      </c>
      <c r="AF28" s="64">
        <f>COUNTIF($V$13:$W$60,"=" &amp; AC28 &amp; "_lose")</f>
        <v>0</v>
      </c>
      <c r="AG28" s="64">
        <f>SUMIF($E$13:$E$60,$AC28,$F$13:$F$60) + SUMIF($H$13:$H$60,$AC28,$G$13:$G$60)</f>
        <v>0</v>
      </c>
      <c r="AH28" s="64">
        <f>SUMIF($E$13:$E$60,$AC28,$G$13:$G$60) + SUMIF($H$13:$H$60,$AC28,$F$13:$F$60)</f>
        <v>0</v>
      </c>
      <c r="AI28" s="64">
        <f>(AG28-AH28)*100+AL28*10000+AG28</f>
        <v>0</v>
      </c>
      <c r="AJ28" s="64">
        <f>AG28-AH28</f>
        <v>0</v>
      </c>
      <c r="AK28" s="64">
        <f>(AJ28-AJ31)/AJ30</f>
        <v>0</v>
      </c>
      <c r="AL28" s="64">
        <f>AD28*3+AE28</f>
        <v>0</v>
      </c>
      <c r="AM28" s="64">
        <f>AQ28/AQ30*1000+AR28/AR30*100+AU28/AU30*10+AS28/AS30</f>
        <v>0</v>
      </c>
      <c r="AN28" s="64">
        <f>VLOOKUP(AC28,db_fifarank,2,FALSE)/2000000</f>
        <v>4.15E-4</v>
      </c>
      <c r="AO28" s="65">
        <f>1000*AL28/AL30+100*AK28+10*AG28/AG30+1*AM28/AM30+AN28</f>
        <v>4.15E-4</v>
      </c>
      <c r="AQ28" s="67">
        <f>SUMPRODUCT(($V$13:$V$60=AC28&amp;"_win")*($X$13:$X$60))+SUMPRODUCT(($W$13:$W$60=AC28&amp;"_win")*($X$13:$X$60))</f>
        <v>0</v>
      </c>
      <c r="AR28" s="68">
        <f>SUMPRODUCT(($V$13:$V$60=AC28&amp;"_draw")*($X$13:$X$60))+SUMPRODUCT(($W$13:$W$60=AC28&amp;"_draw")*($X$13:$X$60))</f>
        <v>0</v>
      </c>
      <c r="AS28" s="68">
        <f>SUMPRODUCT(($E$13:$E$60=AC28)*($X$13:$X$60)*($F$13:$F$60))+SUMPRODUCT(($H$13:$H$60=AC28)*($X$13:$X$60)*($G$13:$G$60))</f>
        <v>0</v>
      </c>
      <c r="AT28" s="68">
        <f>SUMPRODUCT(($E$13:$E$60=AC28)*($X$13:$X$60)*($G$13:$G$60))+SUMPRODUCT(($H$13:$H$60=AC28)*($X$13:$X$60)*($F$13:$F$60))</f>
        <v>0</v>
      </c>
      <c r="AU28" s="68">
        <f>AS28-AT28</f>
        <v>0</v>
      </c>
    </row>
    <row r="29" spans="1:47" x14ac:dyDescent="0.2">
      <c r="A29" s="89">
        <v>17</v>
      </c>
      <c r="B29" s="90" t="str">
        <f t="shared" si="0"/>
        <v>Чор</v>
      </c>
      <c r="C29" s="91" t="str">
        <f t="shared" si="1"/>
        <v>Июнь 18, 2014</v>
      </c>
      <c r="D29" s="92">
        <f t="shared" si="3"/>
        <v>0.125</v>
      </c>
      <c r="E29" s="93" t="str">
        <f>AC58</f>
        <v>Россия</v>
      </c>
      <c r="F29" s="54"/>
      <c r="G29" s="55"/>
      <c r="H29" s="100" t="str">
        <f>AC59</f>
        <v>Жанубий Корея</v>
      </c>
      <c r="I29" s="222" t="str">
        <f>INDEX(T,105,lang)</f>
        <v>Куяба</v>
      </c>
      <c r="J29" s="223"/>
      <c r="K29" s="224"/>
      <c r="M29" s="22" t="str">
        <f>VLOOKUP(3,AB26:AL29,2,FALSE)</f>
        <v>Кот-д’Ивуар</v>
      </c>
      <c r="N29" s="28">
        <f>O29+P29+Q29</f>
        <v>0</v>
      </c>
      <c r="O29" s="28">
        <f>VLOOKUP(3,AB26:AL29,3,FALSE)</f>
        <v>0</v>
      </c>
      <c r="P29" s="28">
        <f>VLOOKUP(3,AB26:AL29,4,FALSE)</f>
        <v>0</v>
      </c>
      <c r="Q29" s="28">
        <f>VLOOKUP(3,AB26:AL29,5,FALSE)</f>
        <v>0</v>
      </c>
      <c r="R29" s="28" t="str">
        <f>VLOOKUP(3,AB26:AL29,6,FALSE) &amp; " - " &amp; VLOOKUP(3,AB26:AL29,7,FALSE)</f>
        <v>0 - 0</v>
      </c>
      <c r="S29" s="29">
        <f>O29*3+P29</f>
        <v>0</v>
      </c>
      <c r="U29" s="64">
        <f>DATE(2014,6,17)+TIME(11,0,0)+gmt_delta</f>
        <v>41808.125</v>
      </c>
      <c r="V29" s="70" t="str">
        <f t="shared" si="4"/>
        <v/>
      </c>
      <c r="W29" s="70" t="str">
        <f t="shared" si="2"/>
        <v/>
      </c>
      <c r="X29" s="65">
        <f t="shared" si="5"/>
        <v>0</v>
      </c>
      <c r="Y29" s="64">
        <f t="shared" si="6"/>
        <v>0</v>
      </c>
      <c r="Z29" s="64">
        <f t="shared" si="7"/>
        <v>0</v>
      </c>
      <c r="AB29" s="64">
        <f>COUNTIF(AO26:AO29,CONCATENATE("&gt;=",AO29))</f>
        <v>4</v>
      </c>
      <c r="AC29" s="65" t="str">
        <f>INDEX(T,56,lang)</f>
        <v>Япония</v>
      </c>
      <c r="AD29" s="64">
        <f>COUNTIF($V$13:$W$60,"=" &amp; AC29 &amp; "_win")</f>
        <v>0</v>
      </c>
      <c r="AE29" s="64">
        <f>COUNTIF($V$13:$W$60,"=" &amp; AC29 &amp; "_draw")</f>
        <v>0</v>
      </c>
      <c r="AF29" s="64">
        <f>COUNTIF($V$13:$W$60,"=" &amp; AC29 &amp; "_lose")</f>
        <v>0</v>
      </c>
      <c r="AG29" s="64">
        <f>SUMIF($E$13:$E$60,$AC29,$F$13:$F$60) + SUMIF($H$13:$H$60,$AC29,$G$13:$G$60)</f>
        <v>0</v>
      </c>
      <c r="AH29" s="64">
        <f>SUMIF($E$13:$E$60,$AC29,$G$13:$G$60) + SUMIF($H$13:$H$60,$AC29,$F$13:$F$60)</f>
        <v>0</v>
      </c>
      <c r="AI29" s="64">
        <f>(AG29-AH29)*100+AL29*10000+AG29</f>
        <v>0</v>
      </c>
      <c r="AJ29" s="64">
        <f>AG29-AH29</f>
        <v>0</v>
      </c>
      <c r="AK29" s="64">
        <f>(AJ29-AJ31)/AJ30</f>
        <v>0</v>
      </c>
      <c r="AL29" s="64">
        <f>AD29*3+AE29</f>
        <v>0</v>
      </c>
      <c r="AM29" s="64">
        <f>AQ29/AQ30*1000+AR29/AR30*100+AU29/AU30*10+AS29/AS30</f>
        <v>0</v>
      </c>
      <c r="AN29" s="64">
        <f>VLOOKUP(AC29,db_fifarank,2,FALSE)/2000000</f>
        <v>3.0650000000000002E-4</v>
      </c>
      <c r="AO29" s="65">
        <f>1000*AL29/AL30+100*AK29+10*AG29/AG30+1*AM29/AM30+AN29</f>
        <v>3.0650000000000002E-4</v>
      </c>
      <c r="AQ29" s="67">
        <f>SUMPRODUCT(($V$13:$V$60=AC29&amp;"_win")*($X$13:$X$60))+SUMPRODUCT(($W$13:$W$60=AC29&amp;"_win")*($X$13:$X$60))</f>
        <v>0</v>
      </c>
      <c r="AR29" s="68">
        <f>SUMPRODUCT(($V$13:$V$60=AC29&amp;"_draw")*($X$13:$X$60))+SUMPRODUCT(($W$13:$W$60=AC29&amp;"_draw")*($X$13:$X$60))</f>
        <v>0</v>
      </c>
      <c r="AS29" s="68">
        <f>SUMPRODUCT(($E$13:$E$60=AC29)*($X$13:$X$60)*($F$13:$F$60))+SUMPRODUCT(($H$13:$H$60=AC29)*($X$13:$X$60)*($G$13:$G$60))</f>
        <v>0</v>
      </c>
      <c r="AT29" s="68">
        <f>SUMPRODUCT(($E$13:$E$60=AC29)*($X$13:$X$60)*($G$13:$G$60))+SUMPRODUCT(($H$13:$H$60=AC29)*($X$13:$X$60)*($F$13:$F$60))</f>
        <v>0</v>
      </c>
      <c r="AU29" s="68">
        <f>AS29-AT29</f>
        <v>0</v>
      </c>
    </row>
    <row r="30" spans="1:47" x14ac:dyDescent="0.2">
      <c r="A30" s="89">
        <v>18</v>
      </c>
      <c r="B30" s="90" t="str">
        <f t="shared" si="0"/>
        <v>Чор</v>
      </c>
      <c r="C30" s="91" t="str">
        <f t="shared" si="1"/>
        <v>Июнь 18, 2014</v>
      </c>
      <c r="D30" s="92">
        <f t="shared" si="3"/>
        <v>0.875</v>
      </c>
      <c r="E30" s="93" t="str">
        <f>AC23</f>
        <v>Австралия</v>
      </c>
      <c r="F30" s="54"/>
      <c r="G30" s="55"/>
      <c r="H30" s="100" t="str">
        <f>AC21</f>
        <v>Голландия</v>
      </c>
      <c r="I30" s="222" t="str">
        <f>INDEX(T,110,lang)</f>
        <v>Порту Алегри</v>
      </c>
      <c r="J30" s="223"/>
      <c r="K30" s="224"/>
      <c r="M30" s="23" t="str">
        <f>VLOOKUP(4,AB26:AL29,2,FALSE)</f>
        <v>Япония</v>
      </c>
      <c r="N30" s="30">
        <f>O30+P30+Q30</f>
        <v>0</v>
      </c>
      <c r="O30" s="30">
        <f>VLOOKUP(4,AB26:AL29,3,FALSE)</f>
        <v>0</v>
      </c>
      <c r="P30" s="30">
        <f>VLOOKUP(4,AB26:AL29,4,FALSE)</f>
        <v>0</v>
      </c>
      <c r="Q30" s="30">
        <f>VLOOKUP(4,AB26:AL29,5,FALSE)</f>
        <v>0</v>
      </c>
      <c r="R30" s="30" t="str">
        <f>VLOOKUP(4,AB26:AL29,6,FALSE) &amp; " - " &amp; VLOOKUP(4,AB26:AL29,7,FALSE)</f>
        <v>0 - 0</v>
      </c>
      <c r="S30" s="31">
        <f>O30*3+P30</f>
        <v>0</v>
      </c>
      <c r="U30" s="64">
        <f>DATE(2014,6,18)+TIME(5,0,0)+gmt_delta</f>
        <v>41808.875</v>
      </c>
      <c r="V30" s="70" t="str">
        <f t="shared" si="4"/>
        <v/>
      </c>
      <c r="W30" s="70" t="str">
        <f t="shared" si="2"/>
        <v/>
      </c>
      <c r="X30" s="65">
        <f t="shared" si="5"/>
        <v>0</v>
      </c>
      <c r="Y30" s="64">
        <f t="shared" si="6"/>
        <v>0</v>
      </c>
      <c r="Z30" s="64">
        <f t="shared" si="7"/>
        <v>0</v>
      </c>
      <c r="AD30" s="64">
        <f t="shared" ref="AD30:AM30" si="10">MAX(AD26:AD29)-MIN(AD26:AD29)+1</f>
        <v>1</v>
      </c>
      <c r="AE30" s="64">
        <f t="shared" si="10"/>
        <v>1</v>
      </c>
      <c r="AF30" s="64">
        <f t="shared" si="10"/>
        <v>1</v>
      </c>
      <c r="AG30" s="64">
        <f t="shared" si="10"/>
        <v>1</v>
      </c>
      <c r="AH30" s="64">
        <f t="shared" si="10"/>
        <v>1</v>
      </c>
      <c r="AI30" s="64">
        <f>MAX(AI26:AI29)-AI31+1</f>
        <v>1</v>
      </c>
      <c r="AJ30" s="64">
        <f>MAX(AJ26:AJ29)-AJ31+1</f>
        <v>1</v>
      </c>
      <c r="AL30" s="64">
        <f t="shared" si="10"/>
        <v>1</v>
      </c>
      <c r="AM30" s="64">
        <f t="shared" si="10"/>
        <v>1</v>
      </c>
      <c r="AQ30" s="64">
        <f>MAX(AQ26:AQ29)-MIN(AQ26:AQ29)+1</f>
        <v>1</v>
      </c>
      <c r="AR30" s="64">
        <f>MAX(AR26:AR29)-MIN(AR26:AR29)+1</f>
        <v>1</v>
      </c>
      <c r="AS30" s="64">
        <f>MAX(AS26:AS29)-MIN(AS26:AS29)+1</f>
        <v>1</v>
      </c>
      <c r="AT30" s="64">
        <f>MAX(AT26:AT29)-MIN(AT26:AT29)+1</f>
        <v>1</v>
      </c>
      <c r="AU30" s="64">
        <f>MAX(AU26:AU29)-MIN(AU26:AU29)+1</f>
        <v>1</v>
      </c>
    </row>
    <row r="31" spans="1:47" x14ac:dyDescent="0.2">
      <c r="A31" s="89">
        <v>19</v>
      </c>
      <c r="B31" s="90" t="str">
        <f t="shared" si="0"/>
        <v>Пай</v>
      </c>
      <c r="C31" s="91" t="str">
        <f t="shared" si="1"/>
        <v>Июнь 19, 2014</v>
      </c>
      <c r="D31" s="92">
        <f t="shared" si="3"/>
        <v>0.125</v>
      </c>
      <c r="E31" s="93" t="str">
        <f>AC17</f>
        <v>Камерун</v>
      </c>
      <c r="F31" s="54"/>
      <c r="G31" s="55"/>
      <c r="H31" s="100" t="str">
        <f>AC15</f>
        <v>Хорватия</v>
      </c>
      <c r="I31" s="222" t="str">
        <f>INDEX(T,108,lang)</f>
        <v>Манаус</v>
      </c>
      <c r="J31" s="223"/>
      <c r="K31" s="224"/>
      <c r="M31" s="32"/>
      <c r="N31" s="33"/>
      <c r="O31" s="33"/>
      <c r="P31" s="33"/>
      <c r="Q31" s="33"/>
      <c r="R31" s="33"/>
      <c r="S31" s="33"/>
      <c r="U31" s="64">
        <f>DATE(2014,6,18)+TIME(11,0,0)+gmt_delta</f>
        <v>41809.125</v>
      </c>
      <c r="V31" s="70" t="str">
        <f t="shared" si="4"/>
        <v/>
      </c>
      <c r="W31" s="70" t="str">
        <f t="shared" si="2"/>
        <v/>
      </c>
      <c r="X31" s="65">
        <f t="shared" si="5"/>
        <v>0</v>
      </c>
      <c r="Y31" s="64">
        <f t="shared" si="6"/>
        <v>0</v>
      </c>
      <c r="Z31" s="64">
        <f t="shared" si="7"/>
        <v>0</v>
      </c>
      <c r="AI31" s="64">
        <f>MIN(AI26:AI29)</f>
        <v>0</v>
      </c>
      <c r="AJ31" s="64">
        <f>MIN(AJ26:AJ29)</f>
        <v>0</v>
      </c>
    </row>
    <row r="32" spans="1:47" x14ac:dyDescent="0.2">
      <c r="A32" s="89">
        <v>20</v>
      </c>
      <c r="B32" s="90" t="str">
        <f t="shared" si="0"/>
        <v>Пай</v>
      </c>
      <c r="C32" s="91" t="str">
        <f t="shared" si="1"/>
        <v>Июнь 19, 2014</v>
      </c>
      <c r="D32" s="92">
        <f t="shared" si="3"/>
        <v>0</v>
      </c>
      <c r="E32" s="93" t="str">
        <f>AC20</f>
        <v>Испания</v>
      </c>
      <c r="F32" s="54"/>
      <c r="G32" s="55"/>
      <c r="H32" s="100" t="str">
        <f>AC22</f>
        <v>Чили</v>
      </c>
      <c r="I32" s="222" t="str">
        <f>INDEX(T,112,lang)</f>
        <v>Рио де Жанейро</v>
      </c>
      <c r="J32" s="223"/>
      <c r="K32" s="224"/>
      <c r="M32" s="52" t="str">
        <f>INDEX(T,9,lang) &amp; " " &amp; "D"</f>
        <v>Гуруҳ D</v>
      </c>
      <c r="N32" s="53" t="str">
        <f>INDEX(T,10,lang)</f>
        <v>Ў</v>
      </c>
      <c r="O32" s="53" t="str">
        <f>INDEX(T,11,lang)</f>
        <v>Ю</v>
      </c>
      <c r="P32" s="53" t="str">
        <f>INDEX(T,12,lang)</f>
        <v>Д</v>
      </c>
      <c r="Q32" s="53" t="str">
        <f>INDEX(T,13,lang)</f>
        <v>М</v>
      </c>
      <c r="R32" s="53" t="str">
        <f>INDEX(T,14,lang)</f>
        <v>Тўп. нисб.</v>
      </c>
      <c r="S32" s="53" t="str">
        <f>INDEX(T,15,lang)</f>
        <v>Очколар</v>
      </c>
      <c r="U32" s="64">
        <f>DATE(2014,6,18)+TIME(8,0,0)+gmt_delta</f>
        <v>41809</v>
      </c>
      <c r="V32" s="70" t="str">
        <f t="shared" si="4"/>
        <v/>
      </c>
      <c r="W32" s="70" t="str">
        <f t="shared" si="2"/>
        <v/>
      </c>
      <c r="X32" s="65">
        <f t="shared" si="5"/>
        <v>0</v>
      </c>
      <c r="Y32" s="64">
        <f t="shared" si="6"/>
        <v>0</v>
      </c>
      <c r="Z32" s="64">
        <f t="shared" si="7"/>
        <v>0</v>
      </c>
      <c r="AB32" s="64">
        <f>COUNTIF(AO32:AO35,CONCATENATE("&gt;=",AO32))</f>
        <v>1</v>
      </c>
      <c r="AC32" s="65" t="str">
        <f>INDEX(T,40,lang)</f>
        <v>Уругвай</v>
      </c>
      <c r="AD32" s="64">
        <f>COUNTIF($V$13:$W$60,"=" &amp; AC32 &amp; "_win")</f>
        <v>0</v>
      </c>
      <c r="AE32" s="64">
        <f>COUNTIF($V$13:$W$60,"=" &amp; AC32 &amp; "_draw")</f>
        <v>0</v>
      </c>
      <c r="AF32" s="64">
        <f>COUNTIF($V$13:$W$60,"=" &amp; AC32 &amp; "_lose")</f>
        <v>0</v>
      </c>
      <c r="AG32" s="64">
        <f>SUMIF($E$13:$E$60,$AC32,$F$13:$F$60) + SUMIF($H$13:$H$60,$AC32,$G$13:$G$60)</f>
        <v>0</v>
      </c>
      <c r="AH32" s="64">
        <f>SUMIF($E$13:$E$60,$AC32,$G$13:$G$60) + SUMIF($H$13:$H$60,$AC32,$F$13:$F$60)</f>
        <v>0</v>
      </c>
      <c r="AI32" s="64">
        <f>(AG32-AH32)*100+AL32*10000+AG32</f>
        <v>0</v>
      </c>
      <c r="AJ32" s="64">
        <f>AG32-AH32</f>
        <v>0</v>
      </c>
      <c r="AK32" s="64">
        <f>(AJ32-AJ37)/AJ36</f>
        <v>0</v>
      </c>
      <c r="AL32" s="64">
        <f>AD32*3+AE32</f>
        <v>0</v>
      </c>
      <c r="AM32" s="64">
        <f>AQ32/AQ36*1000+AR32/AR36*100+AU32/AU36*10+AS32/AS36</f>
        <v>0</v>
      </c>
      <c r="AN32" s="64">
        <f>VLOOKUP(AC32,db_fifarank,2,FALSE)/2000000</f>
        <v>5.9049999999999999E-4</v>
      </c>
      <c r="AO32" s="65">
        <f>1000*AL32/AL36+100*AK32+10*AG32/AG36+1*AM32/AM36+AN32</f>
        <v>5.9049999999999999E-4</v>
      </c>
      <c r="AP32" s="66" t="str">
        <f>IF(SUM(AD32:AF35)=12,M33,INDEX(T,76,lang))</f>
        <v>1D</v>
      </c>
      <c r="AQ32" s="67">
        <f>SUMPRODUCT(($V$13:$V$60=AC32&amp;"_win")*($X$13:$X$60))+SUMPRODUCT(($W$13:$W$60=AC32&amp;"_win")*($X$13:$X$60))</f>
        <v>0</v>
      </c>
      <c r="AR32" s="68">
        <f>SUMPRODUCT(($V$13:$V$60=AC32&amp;"_draw")*($X$13:$X$60))+SUMPRODUCT(($W$13:$W$60=AC32&amp;"_draw")*($X$13:$X$60))</f>
        <v>0</v>
      </c>
      <c r="AS32" s="68">
        <f>SUMPRODUCT(($E$13:$E$60=AC32)*($X$13:$X$60)*($F$13:$F$60))+SUMPRODUCT(($H$13:$H$60=AC32)*($X$13:$X$60)*($G$13:$G$60))</f>
        <v>0</v>
      </c>
      <c r="AT32" s="68">
        <f>SUMPRODUCT(($E$13:$E$60=AC32)*($X$13:$X$60)*($G$13:$G$60))+SUMPRODUCT(($H$13:$H$60=AC32)*($X$13:$X$60)*($F$13:$F$60))</f>
        <v>0</v>
      </c>
      <c r="AU32" s="68">
        <f>AS32-AT32</f>
        <v>0</v>
      </c>
    </row>
    <row r="33" spans="1:47" x14ac:dyDescent="0.2">
      <c r="A33" s="89">
        <v>21</v>
      </c>
      <c r="B33" s="90" t="str">
        <f t="shared" si="0"/>
        <v>Пай</v>
      </c>
      <c r="C33" s="91" t="str">
        <f t="shared" si="1"/>
        <v>Июнь 19, 2014</v>
      </c>
      <c r="D33" s="92">
        <f t="shared" si="3"/>
        <v>0.875</v>
      </c>
      <c r="E33" s="93" t="str">
        <f>AC26</f>
        <v>Колумбия</v>
      </c>
      <c r="F33" s="54"/>
      <c r="G33" s="55"/>
      <c r="H33" s="100" t="str">
        <f>AC28</f>
        <v>Кот-д’Ивуар</v>
      </c>
      <c r="I33" s="222" t="str">
        <f>INDEX(T,104,lang)</f>
        <v>Бразилиа</v>
      </c>
      <c r="J33" s="223"/>
      <c r="K33" s="224"/>
      <c r="M33" s="21" t="str">
        <f>VLOOKUP(1,AB32:AL35,2,FALSE)</f>
        <v>Уругвай</v>
      </c>
      <c r="N33" s="26">
        <f>O33+P33+Q33</f>
        <v>0</v>
      </c>
      <c r="O33" s="26">
        <f>VLOOKUP(1,AB32:AL35,3,FALSE)</f>
        <v>0</v>
      </c>
      <c r="P33" s="26">
        <f>VLOOKUP(1,AB32:AL35,4,FALSE)</f>
        <v>0</v>
      </c>
      <c r="Q33" s="26">
        <f>VLOOKUP(1,AB32:AL35,5,FALSE)</f>
        <v>0</v>
      </c>
      <c r="R33" s="26" t="str">
        <f>VLOOKUP(1,AB32:AL35,6,FALSE) &amp; " - " &amp; VLOOKUP(1,AB32:AL35,7,FALSE)</f>
        <v>0 - 0</v>
      </c>
      <c r="S33" s="27">
        <f>O33*3+P33</f>
        <v>0</v>
      </c>
      <c r="U33" s="64">
        <f>DATE(2014,6,19)+TIME(5,0,0)+gmt_delta</f>
        <v>41809.875</v>
      </c>
      <c r="V33" s="70" t="str">
        <f t="shared" si="4"/>
        <v/>
      </c>
      <c r="W33" s="70" t="str">
        <f t="shared" si="2"/>
        <v/>
      </c>
      <c r="X33" s="65">
        <f t="shared" si="5"/>
        <v>0</v>
      </c>
      <c r="Y33" s="64">
        <f t="shared" si="6"/>
        <v>0</v>
      </c>
      <c r="Z33" s="64">
        <f t="shared" si="7"/>
        <v>0</v>
      </c>
      <c r="AB33" s="64">
        <f>COUNTIF(AO32:AO35,CONCATENATE("&gt;=",AO33))</f>
        <v>4</v>
      </c>
      <c r="AC33" s="65" t="str">
        <f>INDEX(T,55,lang)</f>
        <v>Коста-Рика</v>
      </c>
      <c r="AD33" s="64">
        <f>COUNTIF($V$13:$W$60,"=" &amp; AC33 &amp; "_win")</f>
        <v>0</v>
      </c>
      <c r="AE33" s="64">
        <f>COUNTIF($V$13:$W$60,"=" &amp; AC33 &amp; "_draw")</f>
        <v>0</v>
      </c>
      <c r="AF33" s="64">
        <f>COUNTIF($V$13:$W$60,"=" &amp; AC33 &amp; "_lose")</f>
        <v>0</v>
      </c>
      <c r="AG33" s="64">
        <f>SUMIF($E$13:$E$60,$AC33,$F$13:$F$60) + SUMIF($H$13:$H$60,$AC33,$G$13:$G$60)</f>
        <v>0</v>
      </c>
      <c r="AH33" s="64">
        <f>SUMIF($E$13:$E$60,$AC33,$G$13:$G$60) + SUMIF($H$13:$H$60,$AC33,$F$13:$F$60)</f>
        <v>0</v>
      </c>
      <c r="AI33" s="64">
        <f>(AG33-AH33)*100+AL33*10000+AG33</f>
        <v>0</v>
      </c>
      <c r="AJ33" s="64">
        <f>AG33-AH33</f>
        <v>0</v>
      </c>
      <c r="AK33" s="64">
        <f>(AJ33-AJ37)/AJ36</f>
        <v>0</v>
      </c>
      <c r="AL33" s="64">
        <f>AD33*3+AE33</f>
        <v>0</v>
      </c>
      <c r="AM33" s="64">
        <f>AQ33/AQ36*1000+AR33/AR36*100+AU33/AU36*10+AS33/AS36</f>
        <v>0</v>
      </c>
      <c r="AN33" s="64">
        <f>VLOOKUP(AC33,db_fifarank,2,FALSE)/2000000</f>
        <v>3.7399999999999998E-4</v>
      </c>
      <c r="AO33" s="65">
        <f>1000*AL33/AL36+100*AK33+10*AG33/AG36+1*AM33/AM36+AN33</f>
        <v>3.7399999999999998E-4</v>
      </c>
      <c r="AP33" s="66" t="str">
        <f>IF(SUM(AD32:AF35)=12,M34,INDEX(T,77,lang))</f>
        <v>2D</v>
      </c>
      <c r="AQ33" s="67">
        <f>SUMPRODUCT(($V$13:$V$60=AC33&amp;"_win")*($X$13:$X$60))+SUMPRODUCT(($W$13:$W$60=AC33&amp;"_win")*($X$13:$X$60))</f>
        <v>0</v>
      </c>
      <c r="AR33" s="68">
        <f>SUMPRODUCT(($V$13:$V$60=AC33&amp;"_draw")*($X$13:$X$60))+SUMPRODUCT(($W$13:$W$60=AC33&amp;"_draw")*($X$13:$X$60))</f>
        <v>0</v>
      </c>
      <c r="AS33" s="68">
        <f>SUMPRODUCT(($E$13:$E$60=AC33)*($X$13:$X$60)*($F$13:$F$60))+SUMPRODUCT(($H$13:$H$60=AC33)*($X$13:$X$60)*($G$13:$G$60))</f>
        <v>0</v>
      </c>
      <c r="AT33" s="68">
        <f>SUMPRODUCT(($E$13:$E$60=AC33)*($X$13:$X$60)*($G$13:$G$60))+SUMPRODUCT(($H$13:$H$60=AC33)*($X$13:$X$60)*($F$13:$F$60))</f>
        <v>0</v>
      </c>
      <c r="AU33" s="68">
        <f>AS33-AT33</f>
        <v>0</v>
      </c>
    </row>
    <row r="34" spans="1:47" x14ac:dyDescent="0.2">
      <c r="A34" s="89">
        <v>22</v>
      </c>
      <c r="B34" s="90" t="str">
        <f t="shared" si="0"/>
        <v>Жума</v>
      </c>
      <c r="C34" s="91" t="str">
        <f t="shared" si="1"/>
        <v>Июнь 20, 2014</v>
      </c>
      <c r="D34" s="92">
        <f t="shared" si="3"/>
        <v>0</v>
      </c>
      <c r="E34" s="93" t="str">
        <f>AC32</f>
        <v>Уругвай</v>
      </c>
      <c r="F34" s="54"/>
      <c r="G34" s="55"/>
      <c r="H34" s="100" t="str">
        <f>AC34</f>
        <v>Англия</v>
      </c>
      <c r="I34" s="222" t="str">
        <f>INDEX(T,114,lang)</f>
        <v>Сан-Паулу</v>
      </c>
      <c r="J34" s="223"/>
      <c r="K34" s="224"/>
      <c r="M34" s="22" t="str">
        <f>VLOOKUP(2,AB32:AL35,2,FALSE)</f>
        <v>Италия</v>
      </c>
      <c r="N34" s="28">
        <f>O34+P34+Q34</f>
        <v>0</v>
      </c>
      <c r="O34" s="28">
        <f>VLOOKUP(2,AB32:AL35,3,FALSE)</f>
        <v>0</v>
      </c>
      <c r="P34" s="28">
        <f>VLOOKUP(2,AB32:AL35,4,FALSE)</f>
        <v>0</v>
      </c>
      <c r="Q34" s="28">
        <f>VLOOKUP(2,AB32:AL35,5,FALSE)</f>
        <v>0</v>
      </c>
      <c r="R34" s="28" t="str">
        <f>VLOOKUP(2,AB32:AL35,6,FALSE) &amp; " - " &amp; VLOOKUP(2,AB32:AL35,7,FALSE)</f>
        <v>0 - 0</v>
      </c>
      <c r="S34" s="29">
        <f>O34*3+P34</f>
        <v>0</v>
      </c>
      <c r="U34" s="64">
        <f>DATE(2014,6,19)+TIME(8,0,0)+gmt_delta</f>
        <v>41810</v>
      </c>
      <c r="V34" s="70" t="str">
        <f t="shared" si="4"/>
        <v/>
      </c>
      <c r="W34" s="70" t="str">
        <f t="shared" si="2"/>
        <v/>
      </c>
      <c r="X34" s="65">
        <f t="shared" si="5"/>
        <v>0</v>
      </c>
      <c r="Y34" s="64">
        <f t="shared" si="6"/>
        <v>0</v>
      </c>
      <c r="Z34" s="64">
        <f t="shared" si="7"/>
        <v>0</v>
      </c>
      <c r="AB34" s="64">
        <f>COUNTIF(AO32:AO35,CONCATENATE("&gt;=",AO34))</f>
        <v>3</v>
      </c>
      <c r="AC34" s="65" t="str">
        <f>INDEX(T,46,lang)</f>
        <v>Англия</v>
      </c>
      <c r="AD34" s="64">
        <f>COUNTIF($V$13:$W$60,"=" &amp; AC34 &amp; "_win")</f>
        <v>0</v>
      </c>
      <c r="AE34" s="64">
        <f>COUNTIF($V$13:$W$60,"=" &amp; AC34 &amp; "_draw")</f>
        <v>0</v>
      </c>
      <c r="AF34" s="64">
        <f>COUNTIF($V$13:$W$60,"=" &amp; AC34 &amp; "_lose")</f>
        <v>0</v>
      </c>
      <c r="AG34" s="64">
        <f>SUMIF($E$13:$E$60,$AC34,$F$13:$F$60) + SUMIF($H$13:$H$60,$AC34,$G$13:$G$60)</f>
        <v>0</v>
      </c>
      <c r="AH34" s="64">
        <f>SUMIF($E$13:$E$60,$AC34,$G$13:$G$60) + SUMIF($H$13:$H$60,$AC34,$F$13:$F$60)</f>
        <v>0</v>
      </c>
      <c r="AI34" s="64">
        <f>(AG34-AH34)*100+AL34*10000+AG34</f>
        <v>0</v>
      </c>
      <c r="AJ34" s="64">
        <f>AG34-AH34</f>
        <v>0</v>
      </c>
      <c r="AK34" s="64">
        <f>(AJ34-AJ37)/AJ36</f>
        <v>0</v>
      </c>
      <c r="AL34" s="64">
        <f>AD34*3+AE34</f>
        <v>0</v>
      </c>
      <c r="AM34" s="64">
        <f>AQ34/AQ36*1000+AR34/AR36*100+AU34/AU36*10+AS34/AS36</f>
        <v>0</v>
      </c>
      <c r="AN34" s="64">
        <f>VLOOKUP(AC34,db_fifarank,2,FALSE)/2000000</f>
        <v>5.2150000000000005E-4</v>
      </c>
      <c r="AO34" s="65">
        <f>1000*AL34/AL36+100*AK34+10*AG34/AG36+1*AM34/AM36+AN34</f>
        <v>5.2150000000000005E-4</v>
      </c>
      <c r="AQ34" s="67">
        <f>SUMPRODUCT(($V$13:$V$60=AC34&amp;"_win")*($X$13:$X$60))+SUMPRODUCT(($W$13:$W$60=AC34&amp;"_win")*($X$13:$X$60))</f>
        <v>0</v>
      </c>
      <c r="AR34" s="68">
        <f>SUMPRODUCT(($V$13:$V$60=AC34&amp;"_draw")*($X$13:$X$60))+SUMPRODUCT(($W$13:$W$60=AC34&amp;"_draw")*($X$13:$X$60))</f>
        <v>0</v>
      </c>
      <c r="AS34" s="68">
        <f>SUMPRODUCT(($E$13:$E$60=AC34)*($X$13:$X$60)*($F$13:$F$60))+SUMPRODUCT(($H$13:$H$60=AC34)*($X$13:$X$60)*($G$13:$G$60))</f>
        <v>0</v>
      </c>
      <c r="AT34" s="68">
        <f>SUMPRODUCT(($E$13:$E$60=AC34)*($X$13:$X$60)*($G$13:$G$60))+SUMPRODUCT(($H$13:$H$60=AC34)*($X$13:$X$60)*($F$13:$F$60))</f>
        <v>0</v>
      </c>
      <c r="AU34" s="68">
        <f>AS34-AT34</f>
        <v>0</v>
      </c>
    </row>
    <row r="35" spans="1:47" x14ac:dyDescent="0.2">
      <c r="A35" s="89">
        <v>23</v>
      </c>
      <c r="B35" s="90" t="str">
        <f t="shared" si="0"/>
        <v>Жума</v>
      </c>
      <c r="C35" s="91" t="str">
        <f t="shared" si="1"/>
        <v>Июнь 20, 2014</v>
      </c>
      <c r="D35" s="92">
        <f t="shared" si="3"/>
        <v>0.125</v>
      </c>
      <c r="E35" s="93" t="str">
        <f>AC29</f>
        <v>Япония</v>
      </c>
      <c r="F35" s="54"/>
      <c r="G35" s="55"/>
      <c r="H35" s="100" t="str">
        <f>AC27</f>
        <v>Греция</v>
      </c>
      <c r="I35" s="222" t="str">
        <f>INDEX(T,109,lang)</f>
        <v>Натал</v>
      </c>
      <c r="J35" s="223"/>
      <c r="K35" s="224"/>
      <c r="M35" s="22" t="str">
        <f>VLOOKUP(3,AB32:AL35,2,FALSE)</f>
        <v>Англия</v>
      </c>
      <c r="N35" s="28">
        <f>O35+P35+Q35</f>
        <v>0</v>
      </c>
      <c r="O35" s="28">
        <f>VLOOKUP(3,AB32:AL35,3,FALSE)</f>
        <v>0</v>
      </c>
      <c r="P35" s="28">
        <f>VLOOKUP(3,AB32:AL35,4,FALSE)</f>
        <v>0</v>
      </c>
      <c r="Q35" s="28">
        <f>VLOOKUP(3,AB32:AL35,5,FALSE)</f>
        <v>0</v>
      </c>
      <c r="R35" s="28" t="str">
        <f>VLOOKUP(3,AB32:AL35,6,FALSE) &amp; " - " &amp; VLOOKUP(3,AB32:AL35,7,FALSE)</f>
        <v>0 - 0</v>
      </c>
      <c r="S35" s="29">
        <f>O35*3+P35</f>
        <v>0</v>
      </c>
      <c r="U35" s="64">
        <f>DATE(2014,6,19)+TIME(11,0,0)+gmt_delta</f>
        <v>41810.125</v>
      </c>
      <c r="V35" s="70" t="str">
        <f t="shared" si="4"/>
        <v/>
      </c>
      <c r="W35" s="70" t="str">
        <f t="shared" si="2"/>
        <v/>
      </c>
      <c r="X35" s="65">
        <f t="shared" si="5"/>
        <v>0</v>
      </c>
      <c r="Y35" s="64">
        <f t="shared" si="6"/>
        <v>0</v>
      </c>
      <c r="Z35" s="64">
        <f t="shared" si="7"/>
        <v>0</v>
      </c>
      <c r="AB35" s="64">
        <f>COUNTIF(AO32:AO35,CONCATENATE("&gt;=",AO35))</f>
        <v>2</v>
      </c>
      <c r="AC35" s="65" t="str">
        <f>INDEX(T,58,lang)</f>
        <v>Италия</v>
      </c>
      <c r="AD35" s="64">
        <f>COUNTIF($V$13:$W$60,"=" &amp; AC35 &amp; "_win")</f>
        <v>0</v>
      </c>
      <c r="AE35" s="64">
        <f>COUNTIF($V$13:$W$60,"=" &amp; AC35 &amp; "_draw")</f>
        <v>0</v>
      </c>
      <c r="AF35" s="64">
        <f>COUNTIF($V$13:$W$60,"=" &amp; AC35 &amp; "_lose")</f>
        <v>0</v>
      </c>
      <c r="AG35" s="64">
        <f>SUMIF($E$13:$E$60,$AC35,$F$13:$F$60) + SUMIF($H$13:$H$60,$AC35,$G$13:$G$60)</f>
        <v>0</v>
      </c>
      <c r="AH35" s="64">
        <f>SUMIF($E$13:$E$60,$AC35,$G$13:$G$60) + SUMIF($H$13:$H$60,$AC35,$F$13:$F$60)</f>
        <v>0</v>
      </c>
      <c r="AI35" s="64">
        <f>(AG35-AH35)*100+AL35*10000+AG35</f>
        <v>0</v>
      </c>
      <c r="AJ35" s="64">
        <f>AG35-AH35</f>
        <v>0</v>
      </c>
      <c r="AK35" s="64">
        <f>(AJ35-AJ37)/AJ36</f>
        <v>0</v>
      </c>
      <c r="AL35" s="64">
        <f>AD35*3+AE35</f>
        <v>0</v>
      </c>
      <c r="AM35" s="64">
        <f>AQ35/AQ36*1000+AR35/AR36*100+AU35/AU36*10+AS35/AS36</f>
        <v>0</v>
      </c>
      <c r="AN35" s="64">
        <f>VLOOKUP(AC35,db_fifarank,2,FALSE)/2000000</f>
        <v>5.5750000000000005E-4</v>
      </c>
      <c r="AO35" s="65">
        <f>1000*AL35/AL36+100*AK35+10*AG35/AG36+1*AM35/AM36+AN35</f>
        <v>5.5750000000000005E-4</v>
      </c>
      <c r="AQ35" s="67">
        <f>SUMPRODUCT(($V$13:$V$60=AC35&amp;"_win")*($X$13:$X$60))+SUMPRODUCT(($W$13:$W$60=AC35&amp;"_win")*($X$13:$X$60))</f>
        <v>0</v>
      </c>
      <c r="AR35" s="68">
        <f>SUMPRODUCT(($V$13:$V$60=AC35&amp;"_draw")*($X$13:$X$60))+SUMPRODUCT(($W$13:$W$60=AC35&amp;"_draw")*($X$13:$X$60))</f>
        <v>0</v>
      </c>
      <c r="AS35" s="68">
        <f>SUMPRODUCT(($E$13:$E$60=AC35)*($X$13:$X$60)*($F$13:$F$60))+SUMPRODUCT(($H$13:$H$60=AC35)*($X$13:$X$60)*($G$13:$G$60))</f>
        <v>0</v>
      </c>
      <c r="AT35" s="68">
        <f>SUMPRODUCT(($E$13:$E$60=AC35)*($X$13:$X$60)*($G$13:$G$60))+SUMPRODUCT(($H$13:$H$60=AC35)*($X$13:$X$60)*($F$13:$F$60))</f>
        <v>0</v>
      </c>
      <c r="AU35" s="68">
        <f>AS35-AT35</f>
        <v>0</v>
      </c>
    </row>
    <row r="36" spans="1:47" x14ac:dyDescent="0.2">
      <c r="A36" s="89">
        <v>24</v>
      </c>
      <c r="B36" s="90" t="str">
        <f t="shared" si="0"/>
        <v>Жума</v>
      </c>
      <c r="C36" s="91" t="str">
        <f t="shared" si="1"/>
        <v>Июнь 20, 2014</v>
      </c>
      <c r="D36" s="92">
        <f t="shared" si="3"/>
        <v>0.875</v>
      </c>
      <c r="E36" s="93" t="str">
        <f>AC35</f>
        <v>Италия</v>
      </c>
      <c r="F36" s="54"/>
      <c r="G36" s="55"/>
      <c r="H36" s="100" t="str">
        <f>AC33</f>
        <v>Коста-Рика</v>
      </c>
      <c r="I36" s="222" t="str">
        <f>INDEX(T,111,lang)</f>
        <v>Ресифи</v>
      </c>
      <c r="J36" s="223"/>
      <c r="K36" s="224"/>
      <c r="M36" s="23" t="str">
        <f>VLOOKUP(4,AB32:AL35,2,FALSE)</f>
        <v>Коста-Рика</v>
      </c>
      <c r="N36" s="30">
        <f>O36+P36+Q36</f>
        <v>0</v>
      </c>
      <c r="O36" s="30">
        <f>VLOOKUP(4,AB32:AL35,3,FALSE)</f>
        <v>0</v>
      </c>
      <c r="P36" s="30">
        <f>VLOOKUP(4,AB32:AL35,4,FALSE)</f>
        <v>0</v>
      </c>
      <c r="Q36" s="30">
        <f>VLOOKUP(4,AB32:AL35,5,FALSE)</f>
        <v>0</v>
      </c>
      <c r="R36" s="30" t="str">
        <f>VLOOKUP(4,AB32:AL35,6,FALSE) &amp; " - " &amp; VLOOKUP(4,AB32:AL35,7,FALSE)</f>
        <v>0 - 0</v>
      </c>
      <c r="S36" s="31">
        <f>O36*3+P36</f>
        <v>0</v>
      </c>
      <c r="U36" s="64">
        <f>DATE(2014,6,20)+TIME(5,0,0)+gmt_delta</f>
        <v>41810.875</v>
      </c>
      <c r="V36" s="70" t="str">
        <f t="shared" si="4"/>
        <v/>
      </c>
      <c r="W36" s="70" t="str">
        <f t="shared" si="2"/>
        <v/>
      </c>
      <c r="X36" s="65">
        <f t="shared" si="5"/>
        <v>0</v>
      </c>
      <c r="Y36" s="64">
        <f t="shared" si="6"/>
        <v>0</v>
      </c>
      <c r="Z36" s="64">
        <f t="shared" si="7"/>
        <v>0</v>
      </c>
      <c r="AD36" s="64">
        <f t="shared" ref="AD36:AM36" si="11">MAX(AD32:AD35)-MIN(AD32:AD35)+1</f>
        <v>1</v>
      </c>
      <c r="AE36" s="64">
        <f t="shared" si="11"/>
        <v>1</v>
      </c>
      <c r="AF36" s="64">
        <f t="shared" si="11"/>
        <v>1</v>
      </c>
      <c r="AG36" s="64">
        <f t="shared" si="11"/>
        <v>1</v>
      </c>
      <c r="AH36" s="64">
        <f t="shared" si="11"/>
        <v>1</v>
      </c>
      <c r="AI36" s="64">
        <f>MAX(AI32:AI35)-AI37+1</f>
        <v>1</v>
      </c>
      <c r="AJ36" s="64">
        <f>MAX(AJ32:AJ35)-AJ37+1</f>
        <v>1</v>
      </c>
      <c r="AL36" s="64">
        <f t="shared" si="11"/>
        <v>1</v>
      </c>
      <c r="AM36" s="64">
        <f t="shared" si="11"/>
        <v>1</v>
      </c>
      <c r="AQ36" s="64">
        <f>MAX(AQ32:AQ35)-MIN(AQ32:AQ35)+1</f>
        <v>1</v>
      </c>
      <c r="AR36" s="64">
        <f>MAX(AR32:AR35)-MIN(AR32:AR35)+1</f>
        <v>1</v>
      </c>
      <c r="AS36" s="64">
        <f>MAX(AS32:AS35)-MIN(AS32:AS35)+1</f>
        <v>1</v>
      </c>
      <c r="AT36" s="64">
        <f>MAX(AT32:AT35)-MIN(AT32:AT35)+1</f>
        <v>1</v>
      </c>
      <c r="AU36" s="64">
        <f>MAX(AU32:AU35)-MIN(AU32:AU35)+1</f>
        <v>1</v>
      </c>
    </row>
    <row r="37" spans="1:47" x14ac:dyDescent="0.2">
      <c r="A37" s="89">
        <v>25</v>
      </c>
      <c r="B37" s="90" t="str">
        <f t="shared" si="0"/>
        <v>Шанба</v>
      </c>
      <c r="C37" s="91" t="str">
        <f t="shared" si="1"/>
        <v>Июнь 21, 2014</v>
      </c>
      <c r="D37" s="92">
        <f t="shared" si="3"/>
        <v>0</v>
      </c>
      <c r="E37" s="93" t="str">
        <f>AC38</f>
        <v>Швейцария</v>
      </c>
      <c r="F37" s="54"/>
      <c r="G37" s="55"/>
      <c r="H37" s="100" t="str">
        <f>AC40</f>
        <v>Франция</v>
      </c>
      <c r="I37" s="222" t="str">
        <f>INDEX(T,113,lang)</f>
        <v>Сальвадор</v>
      </c>
      <c r="J37" s="223"/>
      <c r="K37" s="224"/>
      <c r="U37" s="64">
        <f>DATE(2014,6,20)+TIME(8,0,0)+gmt_delta</f>
        <v>41811</v>
      </c>
      <c r="V37" s="70" t="str">
        <f t="shared" si="4"/>
        <v/>
      </c>
      <c r="W37" s="70" t="str">
        <f t="shared" si="2"/>
        <v/>
      </c>
      <c r="X37" s="65">
        <f t="shared" si="5"/>
        <v>0</v>
      </c>
      <c r="Y37" s="64">
        <f t="shared" si="6"/>
        <v>0</v>
      </c>
      <c r="Z37" s="64">
        <f t="shared" si="7"/>
        <v>0</v>
      </c>
      <c r="AI37" s="64">
        <f>MIN(AI32:AI35)</f>
        <v>0</v>
      </c>
      <c r="AJ37" s="64">
        <f>MIN(AJ32:AJ35)</f>
        <v>0</v>
      </c>
    </row>
    <row r="38" spans="1:47" x14ac:dyDescent="0.2">
      <c r="A38" s="89">
        <v>26</v>
      </c>
      <c r="B38" s="90" t="str">
        <f t="shared" si="0"/>
        <v>Шанба</v>
      </c>
      <c r="C38" s="91" t="str">
        <f t="shared" si="1"/>
        <v>Июнь 21, 2014</v>
      </c>
      <c r="D38" s="92">
        <f t="shared" si="3"/>
        <v>0.125</v>
      </c>
      <c r="E38" s="93" t="str">
        <f>AC41</f>
        <v>Гондурас</v>
      </c>
      <c r="F38" s="54"/>
      <c r="G38" s="55"/>
      <c r="H38" s="100" t="str">
        <f>AC39</f>
        <v>Эквадор</v>
      </c>
      <c r="I38" s="222" t="str">
        <f>INDEX(T,106,lang)</f>
        <v>Куритиба</v>
      </c>
      <c r="J38" s="223"/>
      <c r="K38" s="224"/>
      <c r="M38" s="52" t="str">
        <f>INDEX(T,9,lang) &amp; " " &amp; "E"</f>
        <v>Гуруҳ E</v>
      </c>
      <c r="N38" s="53" t="str">
        <f>INDEX(T,10,lang)</f>
        <v>Ў</v>
      </c>
      <c r="O38" s="53" t="str">
        <f>INDEX(T,11,lang)</f>
        <v>Ю</v>
      </c>
      <c r="P38" s="53" t="str">
        <f>INDEX(T,12,lang)</f>
        <v>Д</v>
      </c>
      <c r="Q38" s="53" t="str">
        <f>INDEX(T,13,lang)</f>
        <v>М</v>
      </c>
      <c r="R38" s="53" t="str">
        <f>INDEX(T,14,lang)</f>
        <v>Тўп. нисб.</v>
      </c>
      <c r="S38" s="53" t="str">
        <f>INDEX(T,15,lang)</f>
        <v>Очколар</v>
      </c>
      <c r="U38" s="64">
        <f>DATE(2014,6,20)+TIME(11,0,0)+gmt_delta</f>
        <v>41811.125</v>
      </c>
      <c r="V38" s="70" t="str">
        <f t="shared" si="4"/>
        <v/>
      </c>
      <c r="W38" s="70" t="str">
        <f t="shared" si="2"/>
        <v/>
      </c>
      <c r="X38" s="65">
        <f t="shared" si="5"/>
        <v>0</v>
      </c>
      <c r="Y38" s="64">
        <f t="shared" si="6"/>
        <v>0</v>
      </c>
      <c r="Z38" s="64">
        <f t="shared" si="7"/>
        <v>0</v>
      </c>
      <c r="AB38" s="64">
        <f>COUNTIF(AO38:AO41,CONCATENATE("&gt;=",AO38))</f>
        <v>1</v>
      </c>
      <c r="AC38" s="65" t="str">
        <f>INDEX(T,67,lang)</f>
        <v>Швейцария</v>
      </c>
      <c r="AD38" s="64">
        <f>COUNTIF($V$13:$W$60,"=" &amp; AC38 &amp; "_win")</f>
        <v>0</v>
      </c>
      <c r="AE38" s="64">
        <f>COUNTIF($V$13:$W$60,"=" &amp; AC38 &amp; "_draw")</f>
        <v>0</v>
      </c>
      <c r="AF38" s="64">
        <f>COUNTIF($V$13:$W$60,"=" &amp; AC38 &amp; "_lose")</f>
        <v>0</v>
      </c>
      <c r="AG38" s="64">
        <f>SUMIF($E$13:$E$60,$AC38,$F$13:$F$60) + SUMIF($H$13:$H$60,$AC38,$G$13:$G$60)</f>
        <v>0</v>
      </c>
      <c r="AH38" s="64">
        <f>SUMIF($E$13:$E$60,$AC38,$G$13:$G$60) + SUMIF($H$13:$H$60,$AC38,$F$13:$F$60)</f>
        <v>0</v>
      </c>
      <c r="AI38" s="64">
        <f>(AG38-AH38)*100+AL38*10000+AG38</f>
        <v>0</v>
      </c>
      <c r="AJ38" s="64">
        <f>AG38-AH38</f>
        <v>0</v>
      </c>
      <c r="AK38" s="64">
        <f>(AJ38-AJ43)/AJ42</f>
        <v>0</v>
      </c>
      <c r="AL38" s="64">
        <f>AD38*3+AE38</f>
        <v>0</v>
      </c>
      <c r="AM38" s="64">
        <f>AQ38/AQ42*1000+AR38/AR42*100+AU38/AU42*10+AS38/AS42</f>
        <v>0</v>
      </c>
      <c r="AN38" s="64">
        <f>VLOOKUP(AC38,db_fifarank,2,FALSE)/2000000</f>
        <v>5.8049999999999996E-4</v>
      </c>
      <c r="AO38" s="65">
        <f>1000*AL38/AL42+100*AK38+10*AG38/AG42+1*AM38/AM42+AN38</f>
        <v>5.8049999999999996E-4</v>
      </c>
      <c r="AP38" s="66" t="str">
        <f>IF(SUM(AD38:AF41)=12,M39,INDEX(T,78,lang))</f>
        <v>1E</v>
      </c>
      <c r="AQ38" s="67">
        <f>SUMPRODUCT(($V$13:$V$60=AC38&amp;"_win")*($X$13:$X$60))+SUMPRODUCT(($W$13:$W$60=AC38&amp;"_win")*($X$13:$X$60))</f>
        <v>0</v>
      </c>
      <c r="AR38" s="68">
        <f>SUMPRODUCT(($V$13:$V$60=AC38&amp;"_draw")*($X$13:$X$60))+SUMPRODUCT(($W$13:$W$60=AC38&amp;"_draw")*($X$13:$X$60))</f>
        <v>0</v>
      </c>
      <c r="AS38" s="68">
        <f>SUMPRODUCT(($E$13:$E$60=AC38)*($X$13:$X$60)*($F$13:$F$60))+SUMPRODUCT(($H$13:$H$60=AC38)*($X$13:$X$60)*($G$13:$G$60))</f>
        <v>0</v>
      </c>
      <c r="AT38" s="68">
        <f>SUMPRODUCT(($E$13:$E$60=AC38)*($X$13:$X$60)*($G$13:$G$60))+SUMPRODUCT(($H$13:$H$60=AC38)*($X$13:$X$60)*($F$13:$F$60))</f>
        <v>0</v>
      </c>
      <c r="AU38" s="68">
        <f>AS38-AT38</f>
        <v>0</v>
      </c>
    </row>
    <row r="39" spans="1:47" x14ac:dyDescent="0.2">
      <c r="A39" s="89">
        <v>27</v>
      </c>
      <c r="B39" s="90" t="str">
        <f t="shared" si="0"/>
        <v>Шанба</v>
      </c>
      <c r="C39" s="91" t="str">
        <f t="shared" si="1"/>
        <v>Июнь 21, 2014</v>
      </c>
      <c r="D39" s="92">
        <f t="shared" si="3"/>
        <v>0.875</v>
      </c>
      <c r="E39" s="93" t="str">
        <f>AC44</f>
        <v>Аргентина</v>
      </c>
      <c r="F39" s="54"/>
      <c r="G39" s="55"/>
      <c r="H39" s="100" t="str">
        <f>AC46</f>
        <v>Эрон</v>
      </c>
      <c r="I39" s="222" t="str">
        <f>INDEX(T,103,lang)</f>
        <v>Белу Оризонти</v>
      </c>
      <c r="J39" s="223"/>
      <c r="K39" s="224"/>
      <c r="M39" s="21" t="str">
        <f>VLOOKUP(1,AB38:AL41,2,FALSE)</f>
        <v>Швейцария</v>
      </c>
      <c r="N39" s="26">
        <f>O39+P39+Q39</f>
        <v>0</v>
      </c>
      <c r="O39" s="26">
        <f>VLOOKUP(1,AB38:AL41,3,FALSE)</f>
        <v>0</v>
      </c>
      <c r="P39" s="26">
        <f>VLOOKUP(1,AB38:AL41,4,FALSE)</f>
        <v>0</v>
      </c>
      <c r="Q39" s="26">
        <f>VLOOKUP(1,AB38:AL41,5,FALSE)</f>
        <v>0</v>
      </c>
      <c r="R39" s="26" t="str">
        <f>VLOOKUP(1,AB38:AL41,6,FALSE) &amp; " - " &amp; VLOOKUP(1,AB38:AL41,7,FALSE)</f>
        <v>0 - 0</v>
      </c>
      <c r="S39" s="27">
        <f>O39*3+P39</f>
        <v>0</v>
      </c>
      <c r="U39" s="64">
        <f>DATE(2014,6,21)+TIME(5,0,0)+gmt_delta</f>
        <v>41811.875</v>
      </c>
      <c r="V39" s="70" t="str">
        <f t="shared" si="4"/>
        <v/>
      </c>
      <c r="W39" s="70" t="str">
        <f t="shared" si="2"/>
        <v/>
      </c>
      <c r="X39" s="65">
        <f t="shared" si="5"/>
        <v>0</v>
      </c>
      <c r="Y39" s="64">
        <f t="shared" si="6"/>
        <v>0</v>
      </c>
      <c r="Z39" s="64">
        <f t="shared" si="7"/>
        <v>0</v>
      </c>
      <c r="AB39" s="64">
        <f>COUNTIF(AO38:AO41,CONCATENATE("&gt;=",AO39))</f>
        <v>3</v>
      </c>
      <c r="AC39" s="65" t="str">
        <f>INDEX(T,59,lang)</f>
        <v>Эквадор</v>
      </c>
      <c r="AD39" s="64">
        <f>COUNTIF($V$13:$W$60,"=" &amp; AC39 &amp; "_win")</f>
        <v>0</v>
      </c>
      <c r="AE39" s="64">
        <f>COUNTIF($V$13:$W$60,"=" &amp; AC39 &amp; "_draw")</f>
        <v>0</v>
      </c>
      <c r="AF39" s="64">
        <f>COUNTIF($V$13:$W$60,"=" &amp; AC39 &amp; "_lose")</f>
        <v>0</v>
      </c>
      <c r="AG39" s="64">
        <f>SUMIF($E$13:$E$60,$AC39,$F$13:$F$60) + SUMIF($H$13:$H$60,$AC39,$G$13:$G$60)</f>
        <v>0</v>
      </c>
      <c r="AH39" s="64">
        <f>SUMIF($E$13:$E$60,$AC39,$G$13:$G$60) + SUMIF($H$13:$H$60,$AC39,$F$13:$F$60)</f>
        <v>0</v>
      </c>
      <c r="AI39" s="64">
        <f>(AG39-AH39)*100+AL39*10000+AG39</f>
        <v>0</v>
      </c>
      <c r="AJ39" s="64">
        <f>AG39-AH39</f>
        <v>0</v>
      </c>
      <c r="AK39" s="64">
        <f>(AJ39-AJ43)/AJ42</f>
        <v>0</v>
      </c>
      <c r="AL39" s="64">
        <f>AD39*3+AE39</f>
        <v>0</v>
      </c>
      <c r="AM39" s="64">
        <f>AQ39/AQ42*1000+AR39/AR42*100+AU39/AU42*10+AS39/AS42</f>
        <v>0</v>
      </c>
      <c r="AN39" s="64">
        <f>VLOOKUP(AC39,db_fifarank,2,FALSE)/2000000</f>
        <v>3.97E-4</v>
      </c>
      <c r="AO39" s="65">
        <f>1000*AL39/AL42+100*AK39+10*AG39/AG42+1*AM39/AM42+AN39</f>
        <v>3.97E-4</v>
      </c>
      <c r="AP39" s="66" t="str">
        <f>IF(SUM(AD38:AF41)=12,M40,INDEX(T,79,lang))</f>
        <v>2E</v>
      </c>
      <c r="AQ39" s="67">
        <f>SUMPRODUCT(($V$13:$V$60=AC39&amp;"_win")*($X$13:$X$60))+SUMPRODUCT(($W$13:$W$60=AC39&amp;"_win")*($X$13:$X$60))</f>
        <v>0</v>
      </c>
      <c r="AR39" s="68">
        <f>SUMPRODUCT(($V$13:$V$60=AC39&amp;"_draw")*($X$13:$X$60))+SUMPRODUCT(($W$13:$W$60=AC39&amp;"_draw")*($X$13:$X$60))</f>
        <v>0</v>
      </c>
      <c r="AS39" s="68">
        <f>SUMPRODUCT(($E$13:$E$60=AC39)*($X$13:$X$60)*($F$13:$F$60))+SUMPRODUCT(($H$13:$H$60=AC39)*($X$13:$X$60)*($G$13:$G$60))</f>
        <v>0</v>
      </c>
      <c r="AT39" s="68">
        <f>SUMPRODUCT(($E$13:$E$60=AC39)*($X$13:$X$60)*($G$13:$G$60))+SUMPRODUCT(($H$13:$H$60=AC39)*($X$13:$X$60)*($F$13:$F$60))</f>
        <v>0</v>
      </c>
      <c r="AU39" s="68">
        <f>AS39-AT39</f>
        <v>0</v>
      </c>
    </row>
    <row r="40" spans="1:47" x14ac:dyDescent="0.2">
      <c r="A40" s="89">
        <v>28</v>
      </c>
      <c r="B40" s="90" t="str">
        <f t="shared" si="0"/>
        <v>Якш</v>
      </c>
      <c r="C40" s="91" t="str">
        <f t="shared" si="1"/>
        <v>Июнь 22, 2014</v>
      </c>
      <c r="D40" s="92">
        <f t="shared" si="3"/>
        <v>0</v>
      </c>
      <c r="E40" s="93" t="str">
        <f>AC50</f>
        <v>Германия</v>
      </c>
      <c r="F40" s="54"/>
      <c r="G40" s="55"/>
      <c r="H40" s="100" t="str">
        <f>AC52</f>
        <v>Гана</v>
      </c>
      <c r="I40" s="222" t="str">
        <f>INDEX(T,107,lang)</f>
        <v>Форталеза</v>
      </c>
      <c r="J40" s="223"/>
      <c r="K40" s="224"/>
      <c r="M40" s="22" t="str">
        <f>VLOOKUP(2,AB38:AL41,2,FALSE)</f>
        <v>Франция</v>
      </c>
      <c r="N40" s="28">
        <f>O40+P40+Q40</f>
        <v>0</v>
      </c>
      <c r="O40" s="28">
        <f>VLOOKUP(2,AB38:AL41,3,FALSE)</f>
        <v>0</v>
      </c>
      <c r="P40" s="28">
        <f>VLOOKUP(2,AB38:AL41,4,FALSE)</f>
        <v>0</v>
      </c>
      <c r="Q40" s="28">
        <f>VLOOKUP(2,AB38:AL41,5,FALSE)</f>
        <v>0</v>
      </c>
      <c r="R40" s="28" t="str">
        <f>VLOOKUP(2,AB38:AL41,6,FALSE) &amp; " - " &amp; VLOOKUP(2,AB38:AL41,7,FALSE)</f>
        <v>0 - 0</v>
      </c>
      <c r="S40" s="29">
        <f>O40*3+P40</f>
        <v>0</v>
      </c>
      <c r="U40" s="64">
        <f>DATE(2014,6,21)+TIME(8,0,0)+gmt_delta</f>
        <v>41812</v>
      </c>
      <c r="V40" s="70" t="str">
        <f t="shared" si="4"/>
        <v/>
      </c>
      <c r="W40" s="70" t="str">
        <f t="shared" si="2"/>
        <v/>
      </c>
      <c r="X40" s="65">
        <f t="shared" si="5"/>
        <v>0</v>
      </c>
      <c r="Y40" s="64">
        <f t="shared" si="6"/>
        <v>0</v>
      </c>
      <c r="Z40" s="64">
        <f t="shared" si="7"/>
        <v>0</v>
      </c>
      <c r="AB40" s="64">
        <f>COUNTIF(AO38:AO41,CONCATENATE("&gt;=",AO40))</f>
        <v>2</v>
      </c>
      <c r="AC40" s="65" t="str">
        <f>INDEX(T,41,lang)</f>
        <v>Франция</v>
      </c>
      <c r="AD40" s="64">
        <f>COUNTIF($V$13:$W$60,"=" &amp; AC40 &amp; "_win")</f>
        <v>0</v>
      </c>
      <c r="AE40" s="64">
        <f>COUNTIF($V$13:$W$60,"=" &amp; AC40 &amp; "_draw")</f>
        <v>0</v>
      </c>
      <c r="AF40" s="64">
        <f>COUNTIF($V$13:$W$60,"=" &amp; AC40 &amp; "_lose")</f>
        <v>0</v>
      </c>
      <c r="AG40" s="64">
        <f>SUMIF($E$13:$E$60,$AC40,$F$13:$F$60) + SUMIF($H$13:$H$60,$AC40,$G$13:$G$60)</f>
        <v>0</v>
      </c>
      <c r="AH40" s="64">
        <f>SUMIF($E$13:$E$60,$AC40,$G$13:$G$60) + SUMIF($H$13:$H$60,$AC40,$F$13:$F$60)</f>
        <v>0</v>
      </c>
      <c r="AI40" s="64">
        <f>(AG40-AH40)*100+AL40*10000+AG40</f>
        <v>0</v>
      </c>
      <c r="AJ40" s="64">
        <f>AG40-AH40</f>
        <v>0</v>
      </c>
      <c r="AK40" s="64">
        <f>(AJ40-AJ43)/AJ42</f>
        <v>0</v>
      </c>
      <c r="AL40" s="64">
        <f>AD40*3+AE40</f>
        <v>0</v>
      </c>
      <c r="AM40" s="64">
        <f>AQ40/AQ42*1000+AR40/AR42*100+AU40/AU42*10+AS40/AS42</f>
        <v>0</v>
      </c>
      <c r="AN40" s="64">
        <f>VLOOKUP(AC40,db_fifarank,2,FALSE)/2000000</f>
        <v>4.6749999999999998E-4</v>
      </c>
      <c r="AO40" s="65">
        <f>1000*AL40/AL42+100*AK40+10*AG40/AG42+1*AM40/AM42+AN40</f>
        <v>4.6749999999999998E-4</v>
      </c>
      <c r="AQ40" s="67">
        <f>SUMPRODUCT(($V$13:$V$60=AC40&amp;"_win")*($X$13:$X$60))+SUMPRODUCT(($W$13:$W$60=AC40&amp;"_win")*($X$13:$X$60))</f>
        <v>0</v>
      </c>
      <c r="AR40" s="68">
        <f>SUMPRODUCT(($V$13:$V$60=AC40&amp;"_draw")*($X$13:$X$60))+SUMPRODUCT(($W$13:$W$60=AC40&amp;"_draw")*($X$13:$X$60))</f>
        <v>0</v>
      </c>
      <c r="AS40" s="68">
        <f>SUMPRODUCT(($E$13:$E$60=AC40)*($X$13:$X$60)*($F$13:$F$60))+SUMPRODUCT(($H$13:$H$60=AC40)*($X$13:$X$60)*($G$13:$G$60))</f>
        <v>0</v>
      </c>
      <c r="AT40" s="68">
        <f>SUMPRODUCT(($E$13:$E$60=AC40)*($X$13:$X$60)*($G$13:$G$60))+SUMPRODUCT(($H$13:$H$60=AC40)*($X$13:$X$60)*($F$13:$F$60))</f>
        <v>0</v>
      </c>
      <c r="AU40" s="68">
        <f>AS40-AT40</f>
        <v>0</v>
      </c>
    </row>
    <row r="41" spans="1:47" x14ac:dyDescent="0.2">
      <c r="A41" s="89">
        <v>29</v>
      </c>
      <c r="B41" s="90" t="str">
        <f t="shared" si="0"/>
        <v>Якш</v>
      </c>
      <c r="C41" s="91" t="str">
        <f t="shared" si="1"/>
        <v>Июнь 22, 2014</v>
      </c>
      <c r="D41" s="92">
        <f t="shared" si="3"/>
        <v>0.125</v>
      </c>
      <c r="E41" s="93" t="str">
        <f>AC47</f>
        <v>Нигерия</v>
      </c>
      <c r="F41" s="54"/>
      <c r="G41" s="55"/>
      <c r="H41" s="100" t="str">
        <f>AC45</f>
        <v>Босния ва Герцеговина</v>
      </c>
      <c r="I41" s="222" t="str">
        <f>INDEX(T,105,lang)</f>
        <v>Куяба</v>
      </c>
      <c r="J41" s="223"/>
      <c r="K41" s="224"/>
      <c r="M41" s="22" t="str">
        <f>VLOOKUP(3,AB38:AL41,2,FALSE)</f>
        <v>Эквадор</v>
      </c>
      <c r="N41" s="28">
        <f>O41+P41+Q41</f>
        <v>0</v>
      </c>
      <c r="O41" s="28">
        <f>VLOOKUP(3,AB38:AL41,3,FALSE)</f>
        <v>0</v>
      </c>
      <c r="P41" s="28">
        <f>VLOOKUP(3,AB38:AL41,4,FALSE)</f>
        <v>0</v>
      </c>
      <c r="Q41" s="28">
        <f>VLOOKUP(3,AB38:AL41,5,FALSE)</f>
        <v>0</v>
      </c>
      <c r="R41" s="28" t="str">
        <f>VLOOKUP(3,AB38:AL41,6,FALSE) &amp; " - " &amp; VLOOKUP(3,AB38:AL41,7,FALSE)</f>
        <v>0 - 0</v>
      </c>
      <c r="S41" s="29">
        <f>O41*3+P41</f>
        <v>0</v>
      </c>
      <c r="U41" s="64">
        <f>DATE(2014,6,21)+TIME(11,0,0)+gmt_delta</f>
        <v>41812.125</v>
      </c>
      <c r="V41" s="70" t="str">
        <f t="shared" si="4"/>
        <v/>
      </c>
      <c r="W41" s="70" t="str">
        <f t="shared" si="2"/>
        <v/>
      </c>
      <c r="X41" s="65">
        <f t="shared" si="5"/>
        <v>0</v>
      </c>
      <c r="Y41" s="64">
        <f t="shared" si="6"/>
        <v>0</v>
      </c>
      <c r="Z41" s="64">
        <f t="shared" si="7"/>
        <v>0</v>
      </c>
      <c r="AB41" s="64">
        <f>COUNTIF(AO38:AO41,CONCATENATE("&gt;=",AO41))</f>
        <v>4</v>
      </c>
      <c r="AC41" s="65" t="str">
        <f>INDEX(T,68,lang)</f>
        <v>Гондурас</v>
      </c>
      <c r="AD41" s="64">
        <f>COUNTIF($V$13:$W$60,"=" &amp; AC41 &amp; "_win")</f>
        <v>0</v>
      </c>
      <c r="AE41" s="64">
        <f>COUNTIF($V$13:$W$60,"=" &amp; AC41 &amp; "_draw")</f>
        <v>0</v>
      </c>
      <c r="AF41" s="64">
        <f>COUNTIF($V$13:$W$60,"=" &amp; AC41 &amp; "_lose")</f>
        <v>0</v>
      </c>
      <c r="AG41" s="64">
        <f>SUMIF($E$13:$E$60,$AC41,$F$13:$F$60) + SUMIF($H$13:$H$60,$AC41,$G$13:$G$60)</f>
        <v>0</v>
      </c>
      <c r="AH41" s="64">
        <f>SUMIF($E$13:$E$60,$AC41,$G$13:$G$60) + SUMIF($H$13:$H$60,$AC41,$F$13:$F$60)</f>
        <v>0</v>
      </c>
      <c r="AI41" s="64">
        <f>(AG41-AH41)*100+AL41*10000+AG41</f>
        <v>0</v>
      </c>
      <c r="AJ41" s="64">
        <f>AG41-AH41</f>
        <v>0</v>
      </c>
      <c r="AK41" s="64">
        <f>(AJ41-AJ43)/AJ42</f>
        <v>0</v>
      </c>
      <c r="AL41" s="64">
        <f>AD41*3+AE41</f>
        <v>0</v>
      </c>
      <c r="AM41" s="64">
        <f>AQ41/AQ42*1000+AR41/AR42*100+AU41/AU42*10+AS41/AS42</f>
        <v>0</v>
      </c>
      <c r="AN41" s="64">
        <f>VLOOKUP(AC41,db_fifarank,2,FALSE)/2000000</f>
        <v>3.7950000000000001E-4</v>
      </c>
      <c r="AO41" s="65">
        <f>1000*AL41/AL42+100*AK41+10*AG41/AG42+1*AM41/AM42+AN41</f>
        <v>3.7950000000000001E-4</v>
      </c>
      <c r="AQ41" s="67">
        <f>SUMPRODUCT(($V$13:$V$60=AC41&amp;"_win")*($X$13:$X$60))+SUMPRODUCT(($W$13:$W$60=AC41&amp;"_win")*($X$13:$X$60))</f>
        <v>0</v>
      </c>
      <c r="AR41" s="68">
        <f>SUMPRODUCT(($V$13:$V$60=AC41&amp;"_draw")*($X$13:$X$60))+SUMPRODUCT(($W$13:$W$60=AC41&amp;"_draw")*($X$13:$X$60))</f>
        <v>0</v>
      </c>
      <c r="AS41" s="68">
        <f>SUMPRODUCT(($E$13:$E$60=AC41)*($X$13:$X$60)*($F$13:$F$60))+SUMPRODUCT(($H$13:$H$60=AC41)*($X$13:$X$60)*($G$13:$G$60))</f>
        <v>0</v>
      </c>
      <c r="AT41" s="68">
        <f>SUMPRODUCT(($E$13:$E$60=AC41)*($X$13:$X$60)*($G$13:$G$60))+SUMPRODUCT(($H$13:$H$60=AC41)*($X$13:$X$60)*($F$13:$F$60))</f>
        <v>0</v>
      </c>
      <c r="AU41" s="68">
        <f>AS41-AT41</f>
        <v>0</v>
      </c>
    </row>
    <row r="42" spans="1:47" x14ac:dyDescent="0.2">
      <c r="A42" s="89">
        <v>30</v>
      </c>
      <c r="B42" s="90" t="str">
        <f t="shared" si="0"/>
        <v>Душ</v>
      </c>
      <c r="C42" s="91" t="str">
        <f t="shared" si="1"/>
        <v>Июнь 23, 2014</v>
      </c>
      <c r="D42" s="92">
        <f t="shared" si="3"/>
        <v>0</v>
      </c>
      <c r="E42" s="93" t="str">
        <f>AC59</f>
        <v>Жанубий Корея</v>
      </c>
      <c r="F42" s="54"/>
      <c r="G42" s="55"/>
      <c r="H42" s="100" t="str">
        <f>AC57</f>
        <v>Жазоир</v>
      </c>
      <c r="I42" s="222" t="str">
        <f>INDEX(T,110,lang)</f>
        <v>Порту Алегри</v>
      </c>
      <c r="J42" s="223"/>
      <c r="K42" s="224"/>
      <c r="M42" s="23" t="str">
        <f>VLOOKUP(4,AB38:AL41,2,FALSE)</f>
        <v>Гондурас</v>
      </c>
      <c r="N42" s="30">
        <f>O42+P42+Q42</f>
        <v>0</v>
      </c>
      <c r="O42" s="30">
        <f>VLOOKUP(4,AB38:AL41,3,FALSE)</f>
        <v>0</v>
      </c>
      <c r="P42" s="30">
        <f>VLOOKUP(4,AB38:AL41,4,FALSE)</f>
        <v>0</v>
      </c>
      <c r="Q42" s="30">
        <f>VLOOKUP(4,AB38:AL41,5,FALSE)</f>
        <v>0</v>
      </c>
      <c r="R42" s="30" t="str">
        <f>VLOOKUP(4,AB38:AL41,6,FALSE) &amp; " - " &amp; VLOOKUP(4,AB38:AL41,7,FALSE)</f>
        <v>0 - 0</v>
      </c>
      <c r="S42" s="31">
        <f>O42*3+P42</f>
        <v>0</v>
      </c>
      <c r="U42" s="64">
        <f>DATE(2014,6,22)+TIME(8,0,0)+gmt_delta</f>
        <v>41813</v>
      </c>
      <c r="V42" s="70" t="str">
        <f t="shared" si="4"/>
        <v/>
      </c>
      <c r="W42" s="70" t="str">
        <f t="shared" si="2"/>
        <v/>
      </c>
      <c r="X42" s="65">
        <f t="shared" si="5"/>
        <v>0</v>
      </c>
      <c r="Y42" s="64">
        <f t="shared" si="6"/>
        <v>0</v>
      </c>
      <c r="Z42" s="64">
        <f t="shared" si="7"/>
        <v>0</v>
      </c>
      <c r="AD42" s="64">
        <f t="shared" ref="AD42:AM42" si="12">MAX(AD38:AD41)-MIN(AD38:AD41)+1</f>
        <v>1</v>
      </c>
      <c r="AE42" s="64">
        <f t="shared" si="12"/>
        <v>1</v>
      </c>
      <c r="AF42" s="64">
        <f t="shared" si="12"/>
        <v>1</v>
      </c>
      <c r="AG42" s="64">
        <f t="shared" si="12"/>
        <v>1</v>
      </c>
      <c r="AH42" s="64">
        <f t="shared" si="12"/>
        <v>1</v>
      </c>
      <c r="AI42" s="64">
        <f>MAX(AI38:AI41)-AI43+1</f>
        <v>1</v>
      </c>
      <c r="AJ42" s="64">
        <f>MAX(AJ38:AJ41)-AJ43+1</f>
        <v>1</v>
      </c>
      <c r="AL42" s="64">
        <f t="shared" si="12"/>
        <v>1</v>
      </c>
      <c r="AM42" s="64">
        <f t="shared" si="12"/>
        <v>1</v>
      </c>
      <c r="AQ42" s="64">
        <f>MAX(AQ38:AQ41)-MIN(AQ38:AQ41)+1</f>
        <v>1</v>
      </c>
      <c r="AR42" s="64">
        <f>MAX(AR38:AR41)-MIN(AR38:AR41)+1</f>
        <v>1</v>
      </c>
      <c r="AS42" s="64">
        <f>MAX(AS38:AS41)-MIN(AS38:AS41)+1</f>
        <v>1</v>
      </c>
      <c r="AT42" s="64">
        <f>MAX(AT38:AT41)-MIN(AT38:AT41)+1</f>
        <v>1</v>
      </c>
      <c r="AU42" s="64">
        <f>MAX(AU38:AU41)-MIN(AU38:AU41)+1</f>
        <v>1</v>
      </c>
    </row>
    <row r="43" spans="1:47" x14ac:dyDescent="0.2">
      <c r="A43" s="89">
        <v>31</v>
      </c>
      <c r="B43" s="90" t="str">
        <f t="shared" si="0"/>
        <v>Душ</v>
      </c>
      <c r="C43" s="91" t="str">
        <f t="shared" si="1"/>
        <v>Июнь 23, 2014</v>
      </c>
      <c r="D43" s="92">
        <f t="shared" si="3"/>
        <v>0.125</v>
      </c>
      <c r="E43" s="93" t="str">
        <f>AC53</f>
        <v>АҚШ</v>
      </c>
      <c r="F43" s="54"/>
      <c r="G43" s="55"/>
      <c r="H43" s="100" t="str">
        <f>AC51</f>
        <v>Португалия</v>
      </c>
      <c r="I43" s="222" t="str">
        <f>INDEX(T,108,lang)</f>
        <v>Манаус</v>
      </c>
      <c r="J43" s="223"/>
      <c r="K43" s="224"/>
      <c r="U43" s="64">
        <f>DATE(2014,6,22)+TIME(11,0,0)+gmt_delta</f>
        <v>41813.125</v>
      </c>
      <c r="V43" s="70" t="str">
        <f t="shared" si="4"/>
        <v/>
      </c>
      <c r="W43" s="70" t="str">
        <f t="shared" si="2"/>
        <v/>
      </c>
      <c r="X43" s="65">
        <f t="shared" si="5"/>
        <v>0</v>
      </c>
      <c r="Y43" s="64">
        <f t="shared" si="6"/>
        <v>0</v>
      </c>
      <c r="Z43" s="64">
        <f t="shared" si="7"/>
        <v>0</v>
      </c>
      <c r="AI43" s="64">
        <f>MIN(AI38:AI41)</f>
        <v>0</v>
      </c>
      <c r="AJ43" s="64">
        <f>MIN(AJ38:AJ41)</f>
        <v>0</v>
      </c>
    </row>
    <row r="44" spans="1:47" x14ac:dyDescent="0.2">
      <c r="A44" s="89">
        <v>32</v>
      </c>
      <c r="B44" s="90" t="str">
        <f t="shared" si="0"/>
        <v>Якш</v>
      </c>
      <c r="C44" s="91" t="str">
        <f t="shared" si="1"/>
        <v>Июнь 22, 2014</v>
      </c>
      <c r="D44" s="92">
        <f t="shared" si="3"/>
        <v>0.875</v>
      </c>
      <c r="E44" s="93" t="str">
        <f>AC56</f>
        <v>Бельгия</v>
      </c>
      <c r="F44" s="54"/>
      <c r="G44" s="55"/>
      <c r="H44" s="100" t="str">
        <f>AC58</f>
        <v>Россия</v>
      </c>
      <c r="I44" s="222" t="str">
        <f>INDEX(T,112,lang)</f>
        <v>Рио де Жанейро</v>
      </c>
      <c r="J44" s="223"/>
      <c r="K44" s="224"/>
      <c r="M44" s="52" t="str">
        <f>INDEX(T,9,lang) &amp; " " &amp; "F"</f>
        <v>Гуруҳ F</v>
      </c>
      <c r="N44" s="53" t="str">
        <f>INDEX(T,10,lang)</f>
        <v>Ў</v>
      </c>
      <c r="O44" s="53" t="str">
        <f>INDEX(T,11,lang)</f>
        <v>Ю</v>
      </c>
      <c r="P44" s="53" t="str">
        <f>INDEX(T,12,lang)</f>
        <v>Д</v>
      </c>
      <c r="Q44" s="53" t="str">
        <f>INDEX(T,13,lang)</f>
        <v>М</v>
      </c>
      <c r="R44" s="53" t="str">
        <f>INDEX(T,14,lang)</f>
        <v>Тўп. нисб.</v>
      </c>
      <c r="S44" s="53" t="str">
        <f>INDEX(T,15,lang)</f>
        <v>Очколар</v>
      </c>
      <c r="U44" s="64">
        <f>DATE(2014,6,22)+TIME(5,0,0)+gmt_delta</f>
        <v>41812.875</v>
      </c>
      <c r="V44" s="70" t="str">
        <f t="shared" si="4"/>
        <v/>
      </c>
      <c r="W44" s="70" t="str">
        <f t="shared" si="2"/>
        <v/>
      </c>
      <c r="X44" s="65">
        <f t="shared" si="5"/>
        <v>0</v>
      </c>
      <c r="Y44" s="64">
        <f t="shared" si="6"/>
        <v>0</v>
      </c>
      <c r="Z44" s="64">
        <f t="shared" si="7"/>
        <v>0</v>
      </c>
      <c r="AB44" s="64">
        <f>COUNTIF(AO44:AO47,CONCATENATE("&gt;=",AO44))</f>
        <v>1</v>
      </c>
      <c r="AC44" s="65" t="str">
        <f>INDEX(T,42,lang)</f>
        <v>Аргентина</v>
      </c>
      <c r="AD44" s="64">
        <f>COUNTIF($V$13:$W$60,"=" &amp; AC44 &amp; "_win")</f>
        <v>0</v>
      </c>
      <c r="AE44" s="64">
        <f>COUNTIF($V$13:$W$60,"=" &amp; AC44 &amp; "_draw")</f>
        <v>0</v>
      </c>
      <c r="AF44" s="64">
        <f>COUNTIF($V$13:$W$60,"=" &amp; AC44 &amp; "_lose")</f>
        <v>0</v>
      </c>
      <c r="AG44" s="64">
        <f>SUMIF($E$13:$E$60,$AC44,$F$13:$F$60) + SUMIF($H$13:$H$60,$AC44,$G$13:$G$60)</f>
        <v>0</v>
      </c>
      <c r="AH44" s="64">
        <f>SUMIF($E$13:$E$60,$AC44,$G$13:$G$60) + SUMIF($H$13:$H$60,$AC44,$F$13:$F$60)</f>
        <v>0</v>
      </c>
      <c r="AI44" s="64">
        <f>(AG44-AH44)*100+AL44*10000+AG44</f>
        <v>0</v>
      </c>
      <c r="AJ44" s="64">
        <f>AG44-AH44</f>
        <v>0</v>
      </c>
      <c r="AK44" s="64">
        <f>(AJ44-AJ49)/AJ48</f>
        <v>0</v>
      </c>
      <c r="AL44" s="64">
        <f>AD44*3+AE44</f>
        <v>0</v>
      </c>
      <c r="AM44" s="64">
        <f>AQ44/AQ48*1000+AR44/AR48*100+AU44/AU48*10+AS44/AS48</f>
        <v>0</v>
      </c>
      <c r="AN44" s="64">
        <f>VLOOKUP(AC44,db_fifarank,2,FALSE)/2000000</f>
        <v>5.8900000000000001E-4</v>
      </c>
      <c r="AO44" s="65">
        <f>1000*AL44/AL48+100*AK44+10*AG44/AG48+1*AM44/AM48+AN44</f>
        <v>5.8900000000000001E-4</v>
      </c>
      <c r="AP44" s="66" t="str">
        <f>IF(SUM(AD44:AF47)=12,M45,INDEX(T,80,lang))</f>
        <v>1F</v>
      </c>
      <c r="AQ44" s="67">
        <f>SUMPRODUCT(($V$13:$V$60=AC44&amp;"_win")*($X$13:$X$60))+SUMPRODUCT(($W$13:$W$60=AC44&amp;"_win")*($X$13:$X$60))</f>
        <v>0</v>
      </c>
      <c r="AR44" s="68">
        <f>SUMPRODUCT(($V$13:$V$60=AC44&amp;"_draw")*($X$13:$X$60))+SUMPRODUCT(($W$13:$W$60=AC44&amp;"_draw")*($X$13:$X$60))</f>
        <v>0</v>
      </c>
      <c r="AS44" s="68">
        <f>SUMPRODUCT(($E$13:$E$60=AC44)*($X$13:$X$60)*($F$13:$F$60))+SUMPRODUCT(($H$13:$H$60=AC44)*($X$13:$X$60)*($G$13:$G$60))</f>
        <v>0</v>
      </c>
      <c r="AT44" s="68">
        <f>SUMPRODUCT(($E$13:$E$60=AC44)*($X$13:$X$60)*($G$13:$G$60))+SUMPRODUCT(($H$13:$H$60=AC44)*($X$13:$X$60)*($F$13:$F$60))</f>
        <v>0</v>
      </c>
      <c r="AU44" s="68">
        <f>AS44-AT44</f>
        <v>0</v>
      </c>
    </row>
    <row r="45" spans="1:47" x14ac:dyDescent="0.2">
      <c r="A45" s="89">
        <v>33</v>
      </c>
      <c r="B45" s="90" t="str">
        <f t="shared" si="0"/>
        <v>Душ</v>
      </c>
      <c r="C45" s="91" t="str">
        <f t="shared" si="1"/>
        <v>Июнь 23, 2014</v>
      </c>
      <c r="D45" s="92">
        <f t="shared" si="3"/>
        <v>0.875</v>
      </c>
      <c r="E45" s="93" t="str">
        <f>AC23</f>
        <v>Австралия</v>
      </c>
      <c r="F45" s="54"/>
      <c r="G45" s="55"/>
      <c r="H45" s="100" t="str">
        <f>AC20</f>
        <v>Испания</v>
      </c>
      <c r="I45" s="222" t="str">
        <f>INDEX(T,106,lang)</f>
        <v>Куритиба</v>
      </c>
      <c r="J45" s="223"/>
      <c r="K45" s="224"/>
      <c r="M45" s="21" t="str">
        <f>VLOOKUP(1,AB44:AL47,2,FALSE)</f>
        <v>Аргентина</v>
      </c>
      <c r="N45" s="26">
        <f>O45+P45+Q45</f>
        <v>0</v>
      </c>
      <c r="O45" s="26">
        <f>VLOOKUP(1,AB44:AL47,3,FALSE)</f>
        <v>0</v>
      </c>
      <c r="P45" s="26">
        <f>VLOOKUP(1,AB44:AL47,4,FALSE)</f>
        <v>0</v>
      </c>
      <c r="Q45" s="26">
        <f>VLOOKUP(1,AB44:AL47,5,FALSE)</f>
        <v>0</v>
      </c>
      <c r="R45" s="26" t="str">
        <f>VLOOKUP(1,AB44:AL47,6,FALSE) &amp; " - " &amp; VLOOKUP(1,AB44:AL47,7,FALSE)</f>
        <v>0 - 0</v>
      </c>
      <c r="S45" s="27">
        <f>O45*3+P45</f>
        <v>0</v>
      </c>
      <c r="U45" s="64">
        <f>DATE(2014,6,23)+TIME(5,0,0)+gmt_delta</f>
        <v>41813.875</v>
      </c>
      <c r="V45" s="70" t="str">
        <f t="shared" si="4"/>
        <v/>
      </c>
      <c r="W45" s="70" t="str">
        <f t="shared" si="2"/>
        <v/>
      </c>
      <c r="X45" s="65">
        <f t="shared" si="5"/>
        <v>0</v>
      </c>
      <c r="Y45" s="64">
        <f t="shared" si="6"/>
        <v>0</v>
      </c>
      <c r="Z45" s="64">
        <f t="shared" si="7"/>
        <v>0</v>
      </c>
      <c r="AB45" s="64">
        <f>COUNTIF(AO44:AO47,CONCATENATE("&gt;=",AO45))</f>
        <v>2</v>
      </c>
      <c r="AC45" s="65" t="str">
        <f>INDEX(T,60,lang)</f>
        <v>Босния ва Герцеговина</v>
      </c>
      <c r="AD45" s="64">
        <f>COUNTIF($V$13:$W$60,"=" &amp; AC45 &amp; "_win")</f>
        <v>0</v>
      </c>
      <c r="AE45" s="64">
        <f>COUNTIF($V$13:$W$60,"=" &amp; AC45 &amp; "_draw")</f>
        <v>0</v>
      </c>
      <c r="AF45" s="64">
        <f>COUNTIF($V$13:$W$60,"=" &amp; AC45 &amp; "_lose")</f>
        <v>0</v>
      </c>
      <c r="AG45" s="64">
        <f>SUMIF($E$13:$E$60,$AC45,$F$13:$F$60) + SUMIF($H$13:$H$60,$AC45,$G$13:$G$60)</f>
        <v>0</v>
      </c>
      <c r="AH45" s="64">
        <f>SUMIF($E$13:$E$60,$AC45,$G$13:$G$60) + SUMIF($H$13:$H$60,$AC45,$F$13:$F$60)</f>
        <v>0</v>
      </c>
      <c r="AI45" s="64">
        <f>(AG45-AH45)*100+AL45*10000+AG45</f>
        <v>0</v>
      </c>
      <c r="AJ45" s="64">
        <f>AG45-AH45</f>
        <v>0</v>
      </c>
      <c r="AK45" s="64">
        <f>(AJ45-AJ49)/AJ48</f>
        <v>0</v>
      </c>
      <c r="AL45" s="64">
        <f>AD45*3+AE45</f>
        <v>0</v>
      </c>
      <c r="AM45" s="64">
        <f>AQ45/AQ48*1000+AR45/AR48*100+AU45/AU48*10+AS45/AS48</f>
        <v>0</v>
      </c>
      <c r="AN45" s="64">
        <f>VLOOKUP(AC45,db_fifarank,2,FALSE)/2000000</f>
        <v>3.9750000000000001E-4</v>
      </c>
      <c r="AO45" s="65">
        <f>1000*AL45/AL48+100*AK45+10*AG45/AG48+1*AM45/AM48+AN45</f>
        <v>3.9750000000000001E-4</v>
      </c>
      <c r="AP45" s="66" t="str">
        <f>IF(SUM(AD44:AF47)=12,M46,INDEX(T,81,lang))</f>
        <v>2F</v>
      </c>
      <c r="AQ45" s="67">
        <f>SUMPRODUCT(($V$13:$V$60=AC45&amp;"_win")*($X$13:$X$60))+SUMPRODUCT(($W$13:$W$60=AC45&amp;"_win")*($X$13:$X$60))</f>
        <v>0</v>
      </c>
      <c r="AR45" s="68">
        <f>SUMPRODUCT(($V$13:$V$60=AC45&amp;"_draw")*($X$13:$X$60))+SUMPRODUCT(($W$13:$W$60=AC45&amp;"_draw")*($X$13:$X$60))</f>
        <v>0</v>
      </c>
      <c r="AS45" s="68">
        <f>SUMPRODUCT(($E$13:$E$60=AC45)*($X$13:$X$60)*($F$13:$F$60))+SUMPRODUCT(($H$13:$H$60=AC45)*($X$13:$X$60)*($G$13:$G$60))</f>
        <v>0</v>
      </c>
      <c r="AT45" s="68">
        <f>SUMPRODUCT(($E$13:$E$60=AC45)*($X$13:$X$60)*($G$13:$G$60))+SUMPRODUCT(($H$13:$H$60=AC45)*($X$13:$X$60)*($F$13:$F$60))</f>
        <v>0</v>
      </c>
      <c r="AU45" s="68">
        <f>AS45-AT45</f>
        <v>0</v>
      </c>
    </row>
    <row r="46" spans="1:47" x14ac:dyDescent="0.2">
      <c r="A46" s="89">
        <v>34</v>
      </c>
      <c r="B46" s="90" t="str">
        <f t="shared" si="0"/>
        <v>Душ</v>
      </c>
      <c r="C46" s="91" t="str">
        <f t="shared" si="1"/>
        <v>Июнь 23, 2014</v>
      </c>
      <c r="D46" s="92">
        <f t="shared" si="3"/>
        <v>0.875</v>
      </c>
      <c r="E46" s="93" t="str">
        <f>AC21</f>
        <v>Голландия</v>
      </c>
      <c r="F46" s="54"/>
      <c r="G46" s="55"/>
      <c r="H46" s="100" t="str">
        <f>AC22</f>
        <v>Чили</v>
      </c>
      <c r="I46" s="222" t="str">
        <f>INDEX(T,114,lang)</f>
        <v>Сан-Паулу</v>
      </c>
      <c r="J46" s="223"/>
      <c r="K46" s="224"/>
      <c r="M46" s="22" t="str">
        <f>VLOOKUP(2,AB44:AL47,2,FALSE)</f>
        <v>Босния ва Герцеговина</v>
      </c>
      <c r="N46" s="28">
        <f>O46+P46+Q46</f>
        <v>0</v>
      </c>
      <c r="O46" s="28">
        <f>VLOOKUP(2,AB44:AL47,3,FALSE)</f>
        <v>0</v>
      </c>
      <c r="P46" s="28">
        <f>VLOOKUP(2,AB44:AL47,4,FALSE)</f>
        <v>0</v>
      </c>
      <c r="Q46" s="28">
        <f>VLOOKUP(2,AB44:AL47,5,FALSE)</f>
        <v>0</v>
      </c>
      <c r="R46" s="28" t="str">
        <f>VLOOKUP(2,AB44:AL47,6,FALSE) &amp; " - " &amp; VLOOKUP(2,AB44:AL47,7,FALSE)</f>
        <v>0 - 0</v>
      </c>
      <c r="S46" s="29">
        <f>O46*3+P46</f>
        <v>0</v>
      </c>
      <c r="U46" s="64">
        <f>DATE(2014,6,23)+TIME(5,0,0)+gmt_delta</f>
        <v>41813.875</v>
      </c>
      <c r="V46" s="70" t="str">
        <f t="shared" si="4"/>
        <v/>
      </c>
      <c r="W46" s="70" t="str">
        <f t="shared" si="2"/>
        <v/>
      </c>
      <c r="X46" s="65">
        <f t="shared" si="5"/>
        <v>0</v>
      </c>
      <c r="Y46" s="64">
        <f t="shared" si="6"/>
        <v>0</v>
      </c>
      <c r="Z46" s="64">
        <f t="shared" si="7"/>
        <v>0</v>
      </c>
      <c r="AB46" s="64">
        <f>COUNTIF(AO44:AO47,CONCATENATE("&gt;=",AO46))</f>
        <v>3</v>
      </c>
      <c r="AC46" s="65" t="str">
        <f>INDEX(T,61,lang)</f>
        <v>Эрон</v>
      </c>
      <c r="AD46" s="64">
        <f>COUNTIF($V$13:$W$60,"=" &amp; AC46 &amp; "_win")</f>
        <v>0</v>
      </c>
      <c r="AE46" s="64">
        <f>COUNTIF($V$13:$W$60,"=" &amp; AC46 &amp; "_draw")</f>
        <v>0</v>
      </c>
      <c r="AF46" s="64">
        <f>COUNTIF($V$13:$W$60,"=" &amp; AC46 &amp; "_lose")</f>
        <v>0</v>
      </c>
      <c r="AG46" s="64">
        <f>SUMIF($E$13:$E$60,$AC46,$F$13:$F$60) + SUMIF($H$13:$H$60,$AC46,$G$13:$G$60)</f>
        <v>0</v>
      </c>
      <c r="AH46" s="64">
        <f>SUMIF($E$13:$E$60,$AC46,$G$13:$G$60) + SUMIF($H$13:$H$60,$AC46,$F$13:$F$60)</f>
        <v>0</v>
      </c>
      <c r="AI46" s="64">
        <f>(AG46-AH46)*100+AL46*10000+AG46</f>
        <v>0</v>
      </c>
      <c r="AJ46" s="64">
        <f>AG46-AH46</f>
        <v>0</v>
      </c>
      <c r="AK46" s="64">
        <f>(AJ46-AJ49)/AJ48</f>
        <v>0</v>
      </c>
      <c r="AL46" s="64">
        <f>AD46*3+AE46</f>
        <v>0</v>
      </c>
      <c r="AM46" s="64">
        <f>AQ46/AQ48*1000+AR46/AR48*100+AU46/AU48*10+AS46/AS48</f>
        <v>0</v>
      </c>
      <c r="AN46" s="64">
        <f>VLOOKUP(AC46,db_fifarank,2,FALSE)/2000000</f>
        <v>3.5750000000000002E-4</v>
      </c>
      <c r="AO46" s="65">
        <f>1000*AL46/AL48+100*AK46+10*AG46/AG48+1*AM46/AM48+AN46</f>
        <v>3.5750000000000002E-4</v>
      </c>
      <c r="AQ46" s="67">
        <f>SUMPRODUCT(($V$13:$V$60=AC46&amp;"_win")*($X$13:$X$60))+SUMPRODUCT(($W$13:$W$60=AC46&amp;"_win")*($X$13:$X$60))</f>
        <v>0</v>
      </c>
      <c r="AR46" s="68">
        <f>SUMPRODUCT(($V$13:$V$60=AC46&amp;"_draw")*($X$13:$X$60))+SUMPRODUCT(($W$13:$W$60=AC46&amp;"_draw")*($X$13:$X$60))</f>
        <v>0</v>
      </c>
      <c r="AS46" s="68">
        <f>SUMPRODUCT(($E$13:$E$60=AC46)*($X$13:$X$60)*($F$13:$F$60))+SUMPRODUCT(($H$13:$H$60=AC46)*($X$13:$X$60)*($G$13:$G$60))</f>
        <v>0</v>
      </c>
      <c r="AT46" s="68">
        <f>SUMPRODUCT(($E$13:$E$60=AC46)*($X$13:$X$60)*($G$13:$G$60))+SUMPRODUCT(($H$13:$H$60=AC46)*($X$13:$X$60)*($F$13:$F$60))</f>
        <v>0</v>
      </c>
      <c r="AU46" s="68">
        <f>AS46-AT46</f>
        <v>0</v>
      </c>
    </row>
    <row r="47" spans="1:47" x14ac:dyDescent="0.2">
      <c r="A47" s="89">
        <v>35</v>
      </c>
      <c r="B47" s="90" t="str">
        <f t="shared" si="0"/>
        <v>Сеш</v>
      </c>
      <c r="C47" s="91" t="str">
        <f t="shared" si="1"/>
        <v>Июнь 24, 2014</v>
      </c>
      <c r="D47" s="92">
        <f t="shared" si="3"/>
        <v>4.1666666666666664E-2</v>
      </c>
      <c r="E47" s="93" t="str">
        <f>AC17</f>
        <v>Камерун</v>
      </c>
      <c r="F47" s="54"/>
      <c r="G47" s="55"/>
      <c r="H47" s="100" t="str">
        <f>AC14</f>
        <v>Бразилия</v>
      </c>
      <c r="I47" s="222" t="str">
        <f>INDEX(T,104,lang)</f>
        <v>Бразилиа</v>
      </c>
      <c r="J47" s="223"/>
      <c r="K47" s="224"/>
      <c r="M47" s="22" t="str">
        <f>VLOOKUP(3,AB44:AL47,2,FALSE)</f>
        <v>Эрон</v>
      </c>
      <c r="N47" s="28">
        <f>O47+P47+Q47</f>
        <v>0</v>
      </c>
      <c r="O47" s="28">
        <f>VLOOKUP(3,AB44:AL47,3,FALSE)</f>
        <v>0</v>
      </c>
      <c r="P47" s="28">
        <f>VLOOKUP(3,AB44:AL47,4,FALSE)</f>
        <v>0</v>
      </c>
      <c r="Q47" s="28">
        <f>VLOOKUP(3,AB44:AL47,5,FALSE)</f>
        <v>0</v>
      </c>
      <c r="R47" s="28" t="str">
        <f>VLOOKUP(3,AB44:AL47,6,FALSE) &amp; " - " &amp; VLOOKUP(3,AB44:AL47,7,FALSE)</f>
        <v>0 - 0</v>
      </c>
      <c r="S47" s="29">
        <f>O47*3+P47</f>
        <v>0</v>
      </c>
      <c r="U47" s="64">
        <f>DATE(2014,6,23)+TIME(9,0,0)+gmt_delta</f>
        <v>41814.041666666664</v>
      </c>
      <c r="V47" s="70" t="str">
        <f t="shared" si="4"/>
        <v/>
      </c>
      <c r="W47" s="70" t="str">
        <f t="shared" si="2"/>
        <v/>
      </c>
      <c r="X47" s="65">
        <f t="shared" si="5"/>
        <v>0</v>
      </c>
      <c r="Y47" s="64">
        <f t="shared" si="6"/>
        <v>0</v>
      </c>
      <c r="Z47" s="64">
        <f t="shared" si="7"/>
        <v>0</v>
      </c>
      <c r="AB47" s="64">
        <f>COUNTIF(AO44:AO47,CONCATENATE("&gt;=",AO47))</f>
        <v>4</v>
      </c>
      <c r="AC47" s="65" t="str">
        <f>INDEX(T,43,lang)</f>
        <v>Нигерия</v>
      </c>
      <c r="AD47" s="64">
        <f>COUNTIF($V$13:$W$60,"=" &amp; AC47 &amp; "_win")</f>
        <v>0</v>
      </c>
      <c r="AE47" s="64">
        <f>COUNTIF($V$13:$W$60,"=" &amp; AC47 &amp; "_draw")</f>
        <v>0</v>
      </c>
      <c r="AF47" s="64">
        <f>COUNTIF($V$13:$W$60,"=" &amp; AC47 &amp; "_lose")</f>
        <v>0</v>
      </c>
      <c r="AG47" s="64">
        <f>SUMIF($E$13:$E$60,$AC47,$F$13:$F$60) + SUMIF($H$13:$H$60,$AC47,$G$13:$G$60)</f>
        <v>0</v>
      </c>
      <c r="AH47" s="64">
        <f>SUMIF($E$13:$E$60,$AC47,$G$13:$G$60) + SUMIF($H$13:$H$60,$AC47,$F$13:$F$60)</f>
        <v>0</v>
      </c>
      <c r="AI47" s="64">
        <f>(AG47-AH47)*100+AL47*10000+AG47</f>
        <v>0</v>
      </c>
      <c r="AJ47" s="64">
        <f>AG47-AH47</f>
        <v>0</v>
      </c>
      <c r="AK47" s="64">
        <f>(AJ47-AJ49)/AJ48</f>
        <v>0</v>
      </c>
      <c r="AL47" s="64">
        <f>AD47*3+AE47</f>
        <v>0</v>
      </c>
      <c r="AM47" s="64">
        <f>AQ47/AQ48*1000+AR47/AR48*100+AU47/AU48*10+AS47/AS48</f>
        <v>0</v>
      </c>
      <c r="AN47" s="64">
        <f>VLOOKUP(AC47,db_fifarank,2,FALSE)/2000000</f>
        <v>3.1550000000000003E-4</v>
      </c>
      <c r="AO47" s="65">
        <f>1000*AL47/AL48+100*AK47+10*AG47/AG48+1*AM47/AM48+AN47</f>
        <v>3.1550000000000003E-4</v>
      </c>
      <c r="AQ47" s="67">
        <f>SUMPRODUCT(($V$13:$V$60=AC47&amp;"_win")*($X$13:$X$60))+SUMPRODUCT(($W$13:$W$60=AC47&amp;"_win")*($X$13:$X$60))</f>
        <v>0</v>
      </c>
      <c r="AR47" s="68">
        <f>SUMPRODUCT(($V$13:$V$60=AC47&amp;"_draw")*($X$13:$X$60))+SUMPRODUCT(($W$13:$W$60=AC47&amp;"_draw")*($X$13:$X$60))</f>
        <v>0</v>
      </c>
      <c r="AS47" s="68">
        <f>SUMPRODUCT(($E$13:$E$60=AC47)*($X$13:$X$60)*($F$13:$F$60))+SUMPRODUCT(($H$13:$H$60=AC47)*($X$13:$X$60)*($G$13:$G$60))</f>
        <v>0</v>
      </c>
      <c r="AT47" s="68">
        <f>SUMPRODUCT(($E$13:$E$60=AC47)*($X$13:$X$60)*($G$13:$G$60))+SUMPRODUCT(($H$13:$H$60=AC47)*($X$13:$X$60)*($F$13:$F$60))</f>
        <v>0</v>
      </c>
      <c r="AU47" s="68">
        <f>AS47-AT47</f>
        <v>0</v>
      </c>
    </row>
    <row r="48" spans="1:47" x14ac:dyDescent="0.2">
      <c r="A48" s="89">
        <v>36</v>
      </c>
      <c r="B48" s="90" t="str">
        <f t="shared" si="0"/>
        <v>Сеш</v>
      </c>
      <c r="C48" s="91" t="str">
        <f t="shared" si="1"/>
        <v>Июнь 24, 2014</v>
      </c>
      <c r="D48" s="92">
        <f t="shared" si="3"/>
        <v>4.1666666666666664E-2</v>
      </c>
      <c r="E48" s="93" t="str">
        <f>AC15</f>
        <v>Хорватия</v>
      </c>
      <c r="F48" s="54"/>
      <c r="G48" s="55"/>
      <c r="H48" s="100" t="str">
        <f>AC16</f>
        <v>Мексика</v>
      </c>
      <c r="I48" s="222" t="str">
        <f>INDEX(T,111,lang)</f>
        <v>Ресифи</v>
      </c>
      <c r="J48" s="223"/>
      <c r="K48" s="224"/>
      <c r="M48" s="23" t="str">
        <f>VLOOKUP(4,AB44:AL47,2,FALSE)</f>
        <v>Нигерия</v>
      </c>
      <c r="N48" s="30">
        <f>O48+P48+Q48</f>
        <v>0</v>
      </c>
      <c r="O48" s="30">
        <f>VLOOKUP(4,AB44:AL47,3,FALSE)</f>
        <v>0</v>
      </c>
      <c r="P48" s="30">
        <f>VLOOKUP(4,AB44:AL47,4,FALSE)</f>
        <v>0</v>
      </c>
      <c r="Q48" s="30">
        <f>VLOOKUP(4,AB44:AL47,5,FALSE)</f>
        <v>0</v>
      </c>
      <c r="R48" s="30" t="str">
        <f>VLOOKUP(4,AB44:AL47,6,FALSE) &amp; " - " &amp; VLOOKUP(4,AB44:AL47,7,FALSE)</f>
        <v>0 - 0</v>
      </c>
      <c r="S48" s="31">
        <f>O48*3+P48</f>
        <v>0</v>
      </c>
      <c r="U48" s="64">
        <f>DATE(2014,6,23)+TIME(9,0,0)+gmt_delta</f>
        <v>41814.041666666664</v>
      </c>
      <c r="V48" s="70" t="str">
        <f t="shared" si="4"/>
        <v/>
      </c>
      <c r="W48" s="70" t="str">
        <f t="shared" si="2"/>
        <v/>
      </c>
      <c r="X48" s="65">
        <f t="shared" si="5"/>
        <v>0</v>
      </c>
      <c r="Y48" s="64">
        <f t="shared" si="6"/>
        <v>0</v>
      </c>
      <c r="Z48" s="64">
        <f t="shared" si="7"/>
        <v>0</v>
      </c>
      <c r="AD48" s="64">
        <f t="shared" ref="AD48:AM48" si="13">MAX(AD44:AD47)-MIN(AD44:AD47)+1</f>
        <v>1</v>
      </c>
      <c r="AE48" s="64">
        <f t="shared" si="13"/>
        <v>1</v>
      </c>
      <c r="AF48" s="64">
        <f t="shared" si="13"/>
        <v>1</v>
      </c>
      <c r="AG48" s="64">
        <f t="shared" si="13"/>
        <v>1</v>
      </c>
      <c r="AH48" s="64">
        <f t="shared" si="13"/>
        <v>1</v>
      </c>
      <c r="AI48" s="64">
        <f>MAX(AI44:AI47)-AI49+1</f>
        <v>1</v>
      </c>
      <c r="AJ48" s="64">
        <f>MAX(AJ44:AJ47)-AJ49+1</f>
        <v>1</v>
      </c>
      <c r="AL48" s="64">
        <f t="shared" si="13"/>
        <v>1</v>
      </c>
      <c r="AM48" s="64">
        <f t="shared" si="13"/>
        <v>1</v>
      </c>
      <c r="AQ48" s="64">
        <f>MAX(AQ44:AQ47)-MIN(AQ44:AQ47)+1</f>
        <v>1</v>
      </c>
      <c r="AR48" s="64">
        <f>MAX(AR44:AR47)-MIN(AR44:AR47)+1</f>
        <v>1</v>
      </c>
      <c r="AS48" s="64">
        <f>MAX(AS44:AS47)-MIN(AS44:AS47)+1</f>
        <v>1</v>
      </c>
      <c r="AT48" s="64">
        <f>MAX(AT44:AT47)-MIN(AT44:AT47)+1</f>
        <v>1</v>
      </c>
      <c r="AU48" s="64">
        <f>MAX(AU44:AU47)-MIN(AU44:AU47)+1</f>
        <v>1</v>
      </c>
    </row>
    <row r="49" spans="1:47" x14ac:dyDescent="0.2">
      <c r="A49" s="89">
        <v>37</v>
      </c>
      <c r="B49" s="90" t="str">
        <f t="shared" si="0"/>
        <v>Сеш</v>
      </c>
      <c r="C49" s="91" t="str">
        <f t="shared" si="1"/>
        <v>Июнь 24, 2014</v>
      </c>
      <c r="D49" s="92">
        <f t="shared" si="3"/>
        <v>0.875</v>
      </c>
      <c r="E49" s="93" t="str">
        <f>AC35</f>
        <v>Италия</v>
      </c>
      <c r="F49" s="54"/>
      <c r="G49" s="55"/>
      <c r="H49" s="100" t="str">
        <f>AC32</f>
        <v>Уругвай</v>
      </c>
      <c r="I49" s="222" t="str">
        <f>INDEX(T,109,lang)</f>
        <v>Натал</v>
      </c>
      <c r="J49" s="223"/>
      <c r="K49" s="224"/>
      <c r="U49" s="64">
        <f>DATE(2014,6,24)+TIME(5,0,0)+gmt_delta</f>
        <v>41814.875</v>
      </c>
      <c r="V49" s="70" t="str">
        <f t="shared" si="4"/>
        <v/>
      </c>
      <c r="W49" s="70" t="str">
        <f t="shared" si="2"/>
        <v/>
      </c>
      <c r="X49" s="65">
        <f t="shared" si="5"/>
        <v>0</v>
      </c>
      <c r="Y49" s="64">
        <f t="shared" si="6"/>
        <v>0</v>
      </c>
      <c r="Z49" s="64">
        <f t="shared" si="7"/>
        <v>0</v>
      </c>
      <c r="AI49" s="64">
        <f>MIN(AI44:AI47)</f>
        <v>0</v>
      </c>
      <c r="AJ49" s="64">
        <f>MIN(AJ44:AJ47)</f>
        <v>0</v>
      </c>
    </row>
    <row r="50" spans="1:47" x14ac:dyDescent="0.2">
      <c r="A50" s="89">
        <v>38</v>
      </c>
      <c r="B50" s="90" t="str">
        <f t="shared" si="0"/>
        <v>Сеш</v>
      </c>
      <c r="C50" s="91" t="str">
        <f t="shared" si="1"/>
        <v>Июнь 24, 2014</v>
      </c>
      <c r="D50" s="92">
        <f t="shared" si="3"/>
        <v>0.875</v>
      </c>
      <c r="E50" s="93" t="str">
        <f>AC33</f>
        <v>Коста-Рика</v>
      </c>
      <c r="F50" s="54"/>
      <c r="G50" s="55"/>
      <c r="H50" s="100" t="str">
        <f>AC34</f>
        <v>Англия</v>
      </c>
      <c r="I50" s="222" t="str">
        <f>INDEX(T,103,lang)</f>
        <v>Белу Оризонти</v>
      </c>
      <c r="J50" s="223"/>
      <c r="K50" s="224"/>
      <c r="M50" s="52" t="str">
        <f>INDEX(T,9,lang) &amp; " " &amp; "G"</f>
        <v>Гуруҳ G</v>
      </c>
      <c r="N50" s="53" t="str">
        <f>INDEX(T,10,lang)</f>
        <v>Ў</v>
      </c>
      <c r="O50" s="53" t="str">
        <f>INDEX(T,11,lang)</f>
        <v>Ю</v>
      </c>
      <c r="P50" s="53" t="str">
        <f>INDEX(T,12,lang)</f>
        <v>Д</v>
      </c>
      <c r="Q50" s="53" t="str">
        <f>INDEX(T,13,lang)</f>
        <v>М</v>
      </c>
      <c r="R50" s="53" t="str">
        <f>INDEX(T,14,lang)</f>
        <v>Тўп. нисб.</v>
      </c>
      <c r="S50" s="53" t="str">
        <f>INDEX(T,15,lang)</f>
        <v>Очколар</v>
      </c>
      <c r="U50" s="64">
        <f>DATE(2014,6,24)+TIME(5,0,0)+gmt_delta</f>
        <v>41814.875</v>
      </c>
      <c r="V50" s="70" t="str">
        <f t="shared" si="4"/>
        <v/>
      </c>
      <c r="W50" s="70" t="str">
        <f t="shared" si="2"/>
        <v/>
      </c>
      <c r="X50" s="65">
        <f t="shared" si="5"/>
        <v>0</v>
      </c>
      <c r="Y50" s="64">
        <f t="shared" si="6"/>
        <v>0</v>
      </c>
      <c r="Z50" s="64">
        <f t="shared" si="7"/>
        <v>0</v>
      </c>
      <c r="AB50" s="64">
        <f>COUNTIF(AO50:AO53,CONCATENATE("&gt;=",AO50))</f>
        <v>1</v>
      </c>
      <c r="AC50" s="65" t="str">
        <f>INDEX(T,50,lang)</f>
        <v>Германия</v>
      </c>
      <c r="AD50" s="64">
        <f>COUNTIF($V$13:$W$60,"=" &amp; AC50 &amp; "_win")</f>
        <v>0</v>
      </c>
      <c r="AE50" s="64">
        <f>COUNTIF($V$13:$W$60,"=" &amp; AC50 &amp; "_draw")</f>
        <v>0</v>
      </c>
      <c r="AF50" s="64">
        <f>COUNTIF($V$13:$W$60,"=" &amp; AC50 &amp; "_lose")</f>
        <v>0</v>
      </c>
      <c r="AG50" s="64">
        <f>SUMIF($E$13:$E$60,$AC50,$F$13:$F$60) + SUMIF($H$13:$H$60,$AC50,$G$13:$G$60)</f>
        <v>0</v>
      </c>
      <c r="AH50" s="64">
        <f>SUMIF($E$13:$E$60,$AC50,$G$13:$G$60) + SUMIF($H$13:$H$60,$AC50,$F$13:$F$60)</f>
        <v>0</v>
      </c>
      <c r="AI50" s="64">
        <f>(AG50-AH50)*100+AL50*10000+AG50</f>
        <v>0</v>
      </c>
      <c r="AJ50" s="64">
        <f>AG50-AH50</f>
        <v>0</v>
      </c>
      <c r="AK50" s="64">
        <f>(AJ50-AJ55)/AJ54</f>
        <v>0</v>
      </c>
      <c r="AL50" s="64">
        <f>AD50*3+AE50</f>
        <v>0</v>
      </c>
      <c r="AM50" s="64">
        <f>AQ50/AQ54*1000+AR50/AR54*100+AU50/AU54*10+AS50/AS54</f>
        <v>0</v>
      </c>
      <c r="AN50" s="64">
        <f>VLOOKUP(AC50,db_fifarank,2,FALSE)/2000000</f>
        <v>6.7000000000000002E-4</v>
      </c>
      <c r="AO50" s="65">
        <f>1000*AL50/AL54+100*AK50+10*AG50/AG54+1*AM50/AM54+AN50</f>
        <v>6.7000000000000002E-4</v>
      </c>
      <c r="AP50" s="66" t="str">
        <f>IF(SUM(AD50:AF53)=12,M51,INDEX(T,82,lang))</f>
        <v>1G</v>
      </c>
      <c r="AQ50" s="67">
        <f>SUMPRODUCT(($V$13:$V$60=AC50&amp;"_win")*($X$13:$X$60))+SUMPRODUCT(($W$13:$W$60=AC50&amp;"_win")*($X$13:$X$60))</f>
        <v>0</v>
      </c>
      <c r="AR50" s="68">
        <f>SUMPRODUCT(($V$13:$V$60=AC50&amp;"_draw")*($X$13:$X$60))+SUMPRODUCT(($W$13:$W$60=AC50&amp;"_draw")*($X$13:$X$60))</f>
        <v>0</v>
      </c>
      <c r="AS50" s="68">
        <f>SUMPRODUCT(($E$13:$E$60=AC50)*($X$13:$X$60)*($F$13:$F$60))+SUMPRODUCT(($H$13:$H$60=AC50)*($X$13:$X$60)*($G$13:$G$60))</f>
        <v>0</v>
      </c>
      <c r="AT50" s="68">
        <f>SUMPRODUCT(($E$13:$E$60=AC50)*($X$13:$X$60)*($G$13:$G$60))+SUMPRODUCT(($H$13:$H$60=AC50)*($X$13:$X$60)*($F$13:$F$60))</f>
        <v>0</v>
      </c>
      <c r="AU50" s="68">
        <f>AS50-AT50</f>
        <v>0</v>
      </c>
    </row>
    <row r="51" spans="1:47" x14ac:dyDescent="0.2">
      <c r="A51" s="89">
        <v>39</v>
      </c>
      <c r="B51" s="90" t="str">
        <f t="shared" si="0"/>
        <v>Чор</v>
      </c>
      <c r="C51" s="91" t="str">
        <f t="shared" si="1"/>
        <v>Июнь 25, 2014</v>
      </c>
      <c r="D51" s="92">
        <f t="shared" si="3"/>
        <v>4.1666666666666664E-2</v>
      </c>
      <c r="E51" s="93" t="str">
        <f>AC29</f>
        <v>Япония</v>
      </c>
      <c r="F51" s="54"/>
      <c r="G51" s="55"/>
      <c r="H51" s="100" t="str">
        <f>AC26</f>
        <v>Колумбия</v>
      </c>
      <c r="I51" s="222" t="str">
        <f>INDEX(T,105,lang)</f>
        <v>Куяба</v>
      </c>
      <c r="J51" s="223"/>
      <c r="K51" s="224"/>
      <c r="M51" s="21" t="str">
        <f>VLOOKUP(1,AB50:AL53,2,FALSE)</f>
        <v>Германия</v>
      </c>
      <c r="N51" s="26">
        <f>O51+P51+Q51</f>
        <v>0</v>
      </c>
      <c r="O51" s="26">
        <f>VLOOKUP(1,AB50:AL53,3,FALSE)</f>
        <v>0</v>
      </c>
      <c r="P51" s="26">
        <f>VLOOKUP(1,AB50:AL53,4,FALSE)</f>
        <v>0</v>
      </c>
      <c r="Q51" s="26">
        <f>VLOOKUP(1,AB50:AL53,5,FALSE)</f>
        <v>0</v>
      </c>
      <c r="R51" s="26" t="str">
        <f>VLOOKUP(1,AB50:AL53,6,FALSE) &amp; " - " &amp; VLOOKUP(1,AB50:AL53,7,FALSE)</f>
        <v>0 - 0</v>
      </c>
      <c r="S51" s="27">
        <f>O51*3+P51</f>
        <v>0</v>
      </c>
      <c r="U51" s="64">
        <f>DATE(2014,6,24)+TIME(9,0,0)+gmt_delta</f>
        <v>41815.041666666664</v>
      </c>
      <c r="V51" s="70" t="str">
        <f t="shared" si="4"/>
        <v/>
      </c>
      <c r="W51" s="70" t="str">
        <f t="shared" si="2"/>
        <v/>
      </c>
      <c r="X51" s="65">
        <f t="shared" si="5"/>
        <v>0</v>
      </c>
      <c r="Y51" s="64">
        <f t="shared" si="6"/>
        <v>0</v>
      </c>
      <c r="Z51" s="64">
        <f t="shared" si="7"/>
        <v>0</v>
      </c>
      <c r="AB51" s="64">
        <f>COUNTIF(AO50:AO53,CONCATENATE("&gt;=",AO51))</f>
        <v>2</v>
      </c>
      <c r="AC51" s="65" t="str">
        <f>INDEX(T,65,lang)</f>
        <v>Португалия</v>
      </c>
      <c r="AD51" s="64">
        <f>COUNTIF($V$13:$W$60,"=" &amp; AC51 &amp; "_win")</f>
        <v>0</v>
      </c>
      <c r="AE51" s="64">
        <f>COUNTIF($V$13:$W$60,"=" &amp; AC51 &amp; "_draw")</f>
        <v>0</v>
      </c>
      <c r="AF51" s="64">
        <f>COUNTIF($V$13:$W$60,"=" &amp; AC51 &amp; "_lose")</f>
        <v>0</v>
      </c>
      <c r="AG51" s="64">
        <f>SUMIF($E$13:$E$60,$AC51,$F$13:$F$60) + SUMIF($H$13:$H$60,$AC51,$G$13:$G$60)</f>
        <v>0</v>
      </c>
      <c r="AH51" s="64">
        <f>SUMIF($E$13:$E$60,$AC51,$G$13:$G$60) + SUMIF($H$13:$H$60,$AC51,$F$13:$F$60)</f>
        <v>0</v>
      </c>
      <c r="AI51" s="64">
        <f>(AG51-AH51)*100+AL51*10000+AG51</f>
        <v>0</v>
      </c>
      <c r="AJ51" s="64">
        <f>AG51-AH51</f>
        <v>0</v>
      </c>
      <c r="AK51" s="64">
        <f>(AJ51-AJ55)/AJ54</f>
        <v>0</v>
      </c>
      <c r="AL51" s="64">
        <f>AD51*3+AE51</f>
        <v>0</v>
      </c>
      <c r="AM51" s="64">
        <f>AQ51/AQ54*1000+AR51/AR54*100+AU51/AU54*10+AS51/AS54</f>
        <v>0</v>
      </c>
      <c r="AN51" s="64">
        <f>VLOOKUP(AC51,db_fifarank,2,FALSE)/2000000</f>
        <v>6.2250000000000001E-4</v>
      </c>
      <c r="AO51" s="65">
        <f>1000*AL51/AL54+100*AK51+10*AG51/AG54+1*AM51/AM54+AN51</f>
        <v>6.2250000000000001E-4</v>
      </c>
      <c r="AP51" s="66" t="str">
        <f>IF(SUM(AD50:AF53)=12,M52,INDEX(T,83,lang))</f>
        <v>2G</v>
      </c>
      <c r="AQ51" s="67">
        <f>SUMPRODUCT(($V$13:$V$60=AC51&amp;"_win")*($X$13:$X$60))+SUMPRODUCT(($W$13:$W$60=AC51&amp;"_win")*($X$13:$X$60))</f>
        <v>0</v>
      </c>
      <c r="AR51" s="68">
        <f>SUMPRODUCT(($V$13:$V$60=AC51&amp;"_draw")*($X$13:$X$60))+SUMPRODUCT(($W$13:$W$60=AC51&amp;"_draw")*($X$13:$X$60))</f>
        <v>0</v>
      </c>
      <c r="AS51" s="68">
        <f>SUMPRODUCT(($E$13:$E$60=AC51)*($X$13:$X$60)*($F$13:$F$60))+SUMPRODUCT(($H$13:$H$60=AC51)*($X$13:$X$60)*($G$13:$G$60))</f>
        <v>0</v>
      </c>
      <c r="AT51" s="68">
        <f>SUMPRODUCT(($E$13:$E$60=AC51)*($X$13:$X$60)*($G$13:$G$60))+SUMPRODUCT(($H$13:$H$60=AC51)*($X$13:$X$60)*($F$13:$F$60))</f>
        <v>0</v>
      </c>
      <c r="AU51" s="68">
        <f>AS51-AT51</f>
        <v>0</v>
      </c>
    </row>
    <row r="52" spans="1:47" x14ac:dyDescent="0.2">
      <c r="A52" s="89">
        <v>40</v>
      </c>
      <c r="B52" s="90" t="str">
        <f t="shared" si="0"/>
        <v>Чор</v>
      </c>
      <c r="C52" s="91" t="str">
        <f t="shared" si="1"/>
        <v>Июнь 25, 2014</v>
      </c>
      <c r="D52" s="92">
        <f t="shared" si="3"/>
        <v>4.1666666666666664E-2</v>
      </c>
      <c r="E52" s="93" t="str">
        <f>AC27</f>
        <v>Греция</v>
      </c>
      <c r="F52" s="54"/>
      <c r="G52" s="55"/>
      <c r="H52" s="100" t="str">
        <f>AC28</f>
        <v>Кот-д’Ивуар</v>
      </c>
      <c r="I52" s="222" t="str">
        <f>INDEX(T,107,lang)</f>
        <v>Форталеза</v>
      </c>
      <c r="J52" s="223"/>
      <c r="K52" s="224"/>
      <c r="M52" s="22" t="str">
        <f>VLOOKUP(2,AB50:AL53,2,FALSE)</f>
        <v>Португалия</v>
      </c>
      <c r="N52" s="28">
        <f>O52+P52+Q52</f>
        <v>0</v>
      </c>
      <c r="O52" s="28">
        <f>VLOOKUP(2,AB50:AL53,3,FALSE)</f>
        <v>0</v>
      </c>
      <c r="P52" s="28">
        <f>VLOOKUP(2,AB50:AL53,4,FALSE)</f>
        <v>0</v>
      </c>
      <c r="Q52" s="28">
        <f>VLOOKUP(2,AB50:AL53,5,FALSE)</f>
        <v>0</v>
      </c>
      <c r="R52" s="28" t="str">
        <f>VLOOKUP(2,AB50:AL53,6,FALSE) &amp; " - " &amp; VLOOKUP(2,AB50:AL53,7,FALSE)</f>
        <v>0 - 0</v>
      </c>
      <c r="S52" s="29">
        <f>O52*3+P52</f>
        <v>0</v>
      </c>
      <c r="U52" s="64">
        <f>DATE(2014,6,24)+TIME(9,0,0)+gmt_delta</f>
        <v>41815.041666666664</v>
      </c>
      <c r="V52" s="70" t="str">
        <f t="shared" si="4"/>
        <v/>
      </c>
      <c r="W52" s="70" t="str">
        <f t="shared" si="2"/>
        <v/>
      </c>
      <c r="X52" s="65">
        <f t="shared" si="5"/>
        <v>0</v>
      </c>
      <c r="Y52" s="64">
        <f t="shared" si="6"/>
        <v>0</v>
      </c>
      <c r="Z52" s="64">
        <f t="shared" si="7"/>
        <v>0</v>
      </c>
      <c r="AB52" s="64">
        <f>COUNTIF(AO50:AO53,CONCATENATE("&gt;=",AO52))</f>
        <v>4</v>
      </c>
      <c r="AC52" s="65" t="str">
        <f>INDEX(T,53,lang)</f>
        <v>Гана</v>
      </c>
      <c r="AD52" s="64">
        <f>COUNTIF($V$13:$W$60,"=" &amp; AC52 &amp; "_win")</f>
        <v>0</v>
      </c>
      <c r="AE52" s="64">
        <f>COUNTIF($V$13:$W$60,"=" &amp; AC52 &amp; "_draw")</f>
        <v>0</v>
      </c>
      <c r="AF52" s="64">
        <f>COUNTIF($V$13:$W$60,"=" &amp; AC52 &amp; "_lose")</f>
        <v>0</v>
      </c>
      <c r="AG52" s="64">
        <f>SUMIF($E$13:$E$60,$AC52,$F$13:$F$60) + SUMIF($H$13:$H$60,$AC52,$G$13:$G$60)</f>
        <v>0</v>
      </c>
      <c r="AH52" s="64">
        <f>SUMIF($E$13:$E$60,$AC52,$G$13:$G$60) + SUMIF($H$13:$H$60,$AC52,$F$13:$F$60)</f>
        <v>0</v>
      </c>
      <c r="AI52" s="64">
        <f>(AG52-AH52)*100+AL52*10000+AG52</f>
        <v>0</v>
      </c>
      <c r="AJ52" s="64">
        <f>AG52-AH52</f>
        <v>0</v>
      </c>
      <c r="AK52" s="64">
        <f>(AJ52-AJ55)/AJ54</f>
        <v>0</v>
      </c>
      <c r="AL52" s="64">
        <f>AD52*3+AE52</f>
        <v>0</v>
      </c>
      <c r="AM52" s="64">
        <f>AQ52/AQ54*1000+AR52/AR54*100+AU52/AU54*10+AS52/AS54</f>
        <v>0</v>
      </c>
      <c r="AN52" s="64">
        <f>VLOOKUP(AC52,db_fifarank,2,FALSE)/2000000</f>
        <v>3.5649999999999999E-4</v>
      </c>
      <c r="AO52" s="65">
        <f>1000*AL52/AL54+100*AK52+10*AG52/AG54+1*AM52/AM54+AN52</f>
        <v>3.5649999999999999E-4</v>
      </c>
      <c r="AQ52" s="67">
        <f>SUMPRODUCT(($V$13:$V$60=AC52&amp;"_win")*($X$13:$X$60))+SUMPRODUCT(($W$13:$W$60=AC52&amp;"_win")*($X$13:$X$60))</f>
        <v>0</v>
      </c>
      <c r="AR52" s="68">
        <f>SUMPRODUCT(($V$13:$V$60=AC52&amp;"_draw")*($X$13:$X$60))+SUMPRODUCT(($W$13:$W$60=AC52&amp;"_draw")*($X$13:$X$60))</f>
        <v>0</v>
      </c>
      <c r="AS52" s="68">
        <f>SUMPRODUCT(($E$13:$E$60=AC52)*($X$13:$X$60)*($F$13:$F$60))+SUMPRODUCT(($H$13:$H$60=AC52)*($X$13:$X$60)*($G$13:$G$60))</f>
        <v>0</v>
      </c>
      <c r="AT52" s="68">
        <f>SUMPRODUCT(($E$13:$E$60=AC52)*($X$13:$X$60)*($G$13:$G$60))+SUMPRODUCT(($H$13:$H$60=AC52)*($X$13:$X$60)*($F$13:$F$60))</f>
        <v>0</v>
      </c>
      <c r="AU52" s="68">
        <f>AS52-AT52</f>
        <v>0</v>
      </c>
    </row>
    <row r="53" spans="1:47" x14ac:dyDescent="0.2">
      <c r="A53" s="89">
        <v>41</v>
      </c>
      <c r="B53" s="90" t="str">
        <f t="shared" si="0"/>
        <v>Чор</v>
      </c>
      <c r="C53" s="91" t="str">
        <f t="shared" si="1"/>
        <v>Июнь 25, 2014</v>
      </c>
      <c r="D53" s="92">
        <f t="shared" si="3"/>
        <v>0.875</v>
      </c>
      <c r="E53" s="93" t="str">
        <f>AC47</f>
        <v>Нигерия</v>
      </c>
      <c r="F53" s="54"/>
      <c r="G53" s="55"/>
      <c r="H53" s="100" t="str">
        <f>AC44</f>
        <v>Аргентина</v>
      </c>
      <c r="I53" s="222" t="str">
        <f>INDEX(T,110,lang)</f>
        <v>Порту Алегри</v>
      </c>
      <c r="J53" s="223"/>
      <c r="K53" s="224"/>
      <c r="M53" s="22" t="str">
        <f>VLOOKUP(3,AB50:AL53,2,FALSE)</f>
        <v>АҚШ</v>
      </c>
      <c r="N53" s="28">
        <f>O53+P53+Q53</f>
        <v>0</v>
      </c>
      <c r="O53" s="28">
        <f>VLOOKUP(3,AB50:AL53,3,FALSE)</f>
        <v>0</v>
      </c>
      <c r="P53" s="28">
        <f>VLOOKUP(3,AB50:AL53,4,FALSE)</f>
        <v>0</v>
      </c>
      <c r="Q53" s="28">
        <f>VLOOKUP(3,AB50:AL53,5,FALSE)</f>
        <v>0</v>
      </c>
      <c r="R53" s="28" t="str">
        <f>VLOOKUP(3,AB50:AL53,6,FALSE) &amp; " - " &amp; VLOOKUP(3,AB50:AL53,7,FALSE)</f>
        <v>0 - 0</v>
      </c>
      <c r="S53" s="29">
        <f>O53*3+P53</f>
        <v>0</v>
      </c>
      <c r="U53" s="64">
        <f>DATE(2014,6,25)+TIME(5,0,0)+gmt_delta</f>
        <v>41815.875</v>
      </c>
      <c r="V53" s="70" t="str">
        <f t="shared" si="4"/>
        <v/>
      </c>
      <c r="W53" s="70" t="str">
        <f t="shared" si="2"/>
        <v/>
      </c>
      <c r="X53" s="65">
        <f t="shared" si="5"/>
        <v>0</v>
      </c>
      <c r="Y53" s="64">
        <f t="shared" si="6"/>
        <v>0</v>
      </c>
      <c r="Z53" s="64">
        <f t="shared" si="7"/>
        <v>0</v>
      </c>
      <c r="AB53" s="64">
        <f>COUNTIF(AO50:AO53,CONCATENATE("&gt;=",AO53))</f>
        <v>3</v>
      </c>
      <c r="AC53" s="65" t="str">
        <f>INDEX(T,47,lang)</f>
        <v>АҚШ</v>
      </c>
      <c r="AD53" s="64">
        <f>COUNTIF($V$13:$W$60,"=" &amp; AC53 &amp; "_win")</f>
        <v>0</v>
      </c>
      <c r="AE53" s="64">
        <f>COUNTIF($V$13:$W$60,"=" &amp; AC53 &amp; "_draw")</f>
        <v>0</v>
      </c>
      <c r="AF53" s="64">
        <f>COUNTIF($V$13:$W$60,"=" &amp; AC53 &amp; "_lose")</f>
        <v>0</v>
      </c>
      <c r="AG53" s="64">
        <f>SUMIF($E$13:$E$60,$AC53,$F$13:$F$60) + SUMIF($H$13:$H$60,$AC53,$G$13:$G$60)</f>
        <v>0</v>
      </c>
      <c r="AH53" s="64">
        <f>SUMIF($E$13:$E$60,$AC53,$G$13:$G$60) + SUMIF($H$13:$H$60,$AC53,$F$13:$F$60)</f>
        <v>0</v>
      </c>
      <c r="AI53" s="64">
        <f>(AG53-AH53)*100+AL53*10000+AG53</f>
        <v>0</v>
      </c>
      <c r="AJ53" s="64">
        <f>AG53-AH53</f>
        <v>0</v>
      </c>
      <c r="AK53" s="64">
        <f>(AJ53-AJ55)/AJ54</f>
        <v>0</v>
      </c>
      <c r="AL53" s="64">
        <f>AD53*3+AE53</f>
        <v>0</v>
      </c>
      <c r="AM53" s="64">
        <f>AQ53/AQ54*1000+AR53/AR54*100+AU53/AU54*10+AS53/AS54</f>
        <v>0</v>
      </c>
      <c r="AN53" s="64">
        <f>VLOOKUP(AC53,db_fifarank,2,FALSE)/2000000</f>
        <v>5.0750000000000003E-4</v>
      </c>
      <c r="AO53" s="65">
        <f>1000*AL53/AL54+100*AK53+10*AG53/AG54+1*AM53/AM54+AN53</f>
        <v>5.0750000000000003E-4</v>
      </c>
      <c r="AQ53" s="67">
        <f>SUMPRODUCT(($V$13:$V$60=AC53&amp;"_win")*($X$13:$X$60))+SUMPRODUCT(($W$13:$W$60=AC53&amp;"_win")*($X$13:$X$60))</f>
        <v>0</v>
      </c>
      <c r="AR53" s="68">
        <f>SUMPRODUCT(($V$13:$V$60=AC53&amp;"_draw")*($X$13:$X$60))+SUMPRODUCT(($W$13:$W$60=AC53&amp;"_draw")*($X$13:$X$60))</f>
        <v>0</v>
      </c>
      <c r="AS53" s="68">
        <f>SUMPRODUCT(($E$13:$E$60=AC53)*($X$13:$X$60)*($F$13:$F$60))+SUMPRODUCT(($H$13:$H$60=AC53)*($X$13:$X$60)*($G$13:$G$60))</f>
        <v>0</v>
      </c>
      <c r="AT53" s="68">
        <f>SUMPRODUCT(($E$13:$E$60=AC53)*($X$13:$X$60)*($G$13:$G$60))+SUMPRODUCT(($H$13:$H$60=AC53)*($X$13:$X$60)*($F$13:$F$60))</f>
        <v>0</v>
      </c>
      <c r="AU53" s="68">
        <f>AS53-AT53</f>
        <v>0</v>
      </c>
    </row>
    <row r="54" spans="1:47" x14ac:dyDescent="0.2">
      <c r="A54" s="89">
        <v>42</v>
      </c>
      <c r="B54" s="90" t="str">
        <f t="shared" si="0"/>
        <v>Чор</v>
      </c>
      <c r="C54" s="91" t="str">
        <f t="shared" si="1"/>
        <v>Июнь 25, 2014</v>
      </c>
      <c r="D54" s="92">
        <f t="shared" si="3"/>
        <v>0.875</v>
      </c>
      <c r="E54" s="93" t="str">
        <f>AC45</f>
        <v>Босния ва Герцеговина</v>
      </c>
      <c r="F54" s="54"/>
      <c r="G54" s="55"/>
      <c r="H54" s="100" t="str">
        <f>AC46</f>
        <v>Эрон</v>
      </c>
      <c r="I54" s="222" t="str">
        <f>INDEX(T,113,lang)</f>
        <v>Сальвадор</v>
      </c>
      <c r="J54" s="223"/>
      <c r="K54" s="224"/>
      <c r="M54" s="23" t="str">
        <f>VLOOKUP(4,AB50:AL53,2,FALSE)</f>
        <v>Гана</v>
      </c>
      <c r="N54" s="30">
        <f>O54+P54+Q54</f>
        <v>0</v>
      </c>
      <c r="O54" s="30">
        <f>VLOOKUP(4,AB50:AL53,3,FALSE)</f>
        <v>0</v>
      </c>
      <c r="P54" s="30">
        <f>VLOOKUP(4,AB50:AL53,4,FALSE)</f>
        <v>0</v>
      </c>
      <c r="Q54" s="30">
        <f>VLOOKUP(4,AB50:AL53,5,FALSE)</f>
        <v>0</v>
      </c>
      <c r="R54" s="30" t="str">
        <f>VLOOKUP(4,AB50:AL53,6,FALSE) &amp; " - " &amp; VLOOKUP(4,AB50:AL53,7,FALSE)</f>
        <v>0 - 0</v>
      </c>
      <c r="S54" s="31">
        <f>O54*3+P54</f>
        <v>0</v>
      </c>
      <c r="U54" s="64">
        <f>DATE(2014,6,25)+TIME(5,0,0)+gmt_delta</f>
        <v>41815.875</v>
      </c>
      <c r="V54" s="70" t="str">
        <f t="shared" si="4"/>
        <v/>
      </c>
      <c r="W54" s="70" t="str">
        <f t="shared" si="2"/>
        <v/>
      </c>
      <c r="X54" s="65">
        <f t="shared" si="5"/>
        <v>0</v>
      </c>
      <c r="Y54" s="64">
        <f t="shared" si="6"/>
        <v>0</v>
      </c>
      <c r="Z54" s="64">
        <f t="shared" si="7"/>
        <v>0</v>
      </c>
      <c r="AD54" s="64">
        <f t="shared" ref="AD54:AM54" si="14">MAX(AD50:AD53)-MIN(AD50:AD53)+1</f>
        <v>1</v>
      </c>
      <c r="AE54" s="64">
        <f t="shared" si="14"/>
        <v>1</v>
      </c>
      <c r="AF54" s="64">
        <f t="shared" si="14"/>
        <v>1</v>
      </c>
      <c r="AG54" s="64">
        <f t="shared" si="14"/>
        <v>1</v>
      </c>
      <c r="AH54" s="64">
        <f t="shared" si="14"/>
        <v>1</v>
      </c>
      <c r="AI54" s="64">
        <f>MAX(AI50:AI53)-AI55+1</f>
        <v>1</v>
      </c>
      <c r="AJ54" s="64">
        <f>MAX(AJ50:AJ53)-AJ55+1</f>
        <v>1</v>
      </c>
      <c r="AL54" s="64">
        <f t="shared" si="14"/>
        <v>1</v>
      </c>
      <c r="AM54" s="64">
        <f t="shared" si="14"/>
        <v>1</v>
      </c>
      <c r="AQ54" s="64">
        <f>MAX(AQ50:AQ53)-MIN(AQ50:AQ53)+1</f>
        <v>1</v>
      </c>
      <c r="AR54" s="64">
        <f>MAX(AR50:AR53)-MIN(AR50:AR53)+1</f>
        <v>1</v>
      </c>
      <c r="AS54" s="64">
        <f>MAX(AS50:AS53)-MIN(AS50:AS53)+1</f>
        <v>1</v>
      </c>
      <c r="AT54" s="64">
        <f>MAX(AT50:AT53)-MIN(AT50:AT53)+1</f>
        <v>1</v>
      </c>
      <c r="AU54" s="64">
        <f>MAX(AU50:AU53)-MIN(AU50:AU53)+1</f>
        <v>1</v>
      </c>
    </row>
    <row r="55" spans="1:47" x14ac:dyDescent="0.2">
      <c r="A55" s="89">
        <v>43</v>
      </c>
      <c r="B55" s="90" t="str">
        <f t="shared" si="0"/>
        <v>Пай</v>
      </c>
      <c r="C55" s="91" t="str">
        <f t="shared" si="1"/>
        <v>Июнь 26, 2014</v>
      </c>
      <c r="D55" s="92">
        <f t="shared" si="3"/>
        <v>4.1666666666666664E-2</v>
      </c>
      <c r="E55" s="93" t="str">
        <f>AC41</f>
        <v>Гондурас</v>
      </c>
      <c r="F55" s="54"/>
      <c r="G55" s="55"/>
      <c r="H55" s="100" t="str">
        <f>AC38</f>
        <v>Швейцария</v>
      </c>
      <c r="I55" s="222" t="str">
        <f>INDEX(T,108,lang)</f>
        <v>Манаус</v>
      </c>
      <c r="J55" s="223"/>
      <c r="K55" s="224"/>
      <c r="U55" s="64">
        <f>DATE(2014,6,25)+TIME(9,0,0)+gmt_delta</f>
        <v>41816.041666666664</v>
      </c>
      <c r="V55" s="70" t="str">
        <f t="shared" si="4"/>
        <v/>
      </c>
      <c r="W55" s="70" t="str">
        <f t="shared" si="2"/>
        <v/>
      </c>
      <c r="X55" s="65">
        <f t="shared" si="5"/>
        <v>0</v>
      </c>
      <c r="Y55" s="64">
        <f t="shared" si="6"/>
        <v>0</v>
      </c>
      <c r="Z55" s="64">
        <f t="shared" si="7"/>
        <v>0</v>
      </c>
      <c r="AI55" s="64">
        <f>MIN(AI50:AI53)</f>
        <v>0</v>
      </c>
      <c r="AJ55" s="64">
        <f>MIN(AJ50:AJ53)</f>
        <v>0</v>
      </c>
    </row>
    <row r="56" spans="1:47" x14ac:dyDescent="0.2">
      <c r="A56" s="89">
        <v>44</v>
      </c>
      <c r="B56" s="90" t="str">
        <f t="shared" si="0"/>
        <v>Пай</v>
      </c>
      <c r="C56" s="91" t="str">
        <f t="shared" si="1"/>
        <v>Июнь 26, 2014</v>
      </c>
      <c r="D56" s="92">
        <f t="shared" si="3"/>
        <v>4.1666666666666664E-2</v>
      </c>
      <c r="E56" s="93" t="str">
        <f>AC39</f>
        <v>Эквадор</v>
      </c>
      <c r="F56" s="54"/>
      <c r="G56" s="55"/>
      <c r="H56" s="100" t="str">
        <f>AC40</f>
        <v>Франция</v>
      </c>
      <c r="I56" s="222" t="str">
        <f>INDEX(T,112,lang)</f>
        <v>Рио де Жанейро</v>
      </c>
      <c r="J56" s="223"/>
      <c r="K56" s="224"/>
      <c r="M56" s="52" t="str">
        <f>INDEX(T,9,lang) &amp; " " &amp; "H"</f>
        <v>Гуруҳ H</v>
      </c>
      <c r="N56" s="53" t="str">
        <f>INDEX(T,10,lang)</f>
        <v>Ў</v>
      </c>
      <c r="O56" s="53" t="str">
        <f>INDEX(T,11,lang)</f>
        <v>Ю</v>
      </c>
      <c r="P56" s="53" t="str">
        <f>INDEX(T,12,lang)</f>
        <v>Д</v>
      </c>
      <c r="Q56" s="53" t="str">
        <f>INDEX(T,13,lang)</f>
        <v>М</v>
      </c>
      <c r="R56" s="53" t="str">
        <f>INDEX(T,14,lang)</f>
        <v>Тўп. нисб.</v>
      </c>
      <c r="S56" s="53" t="str">
        <f>INDEX(T,15,lang)</f>
        <v>Очколар</v>
      </c>
      <c r="U56" s="64">
        <f>DATE(2014,6,25)+TIME(9,0,0)+gmt_delta</f>
        <v>41816.041666666664</v>
      </c>
      <c r="V56" s="70" t="str">
        <f t="shared" si="4"/>
        <v/>
      </c>
      <c r="W56" s="70" t="str">
        <f t="shared" si="2"/>
        <v/>
      </c>
      <c r="X56" s="65">
        <f t="shared" si="5"/>
        <v>0</v>
      </c>
      <c r="Y56" s="64">
        <f t="shared" si="6"/>
        <v>0</v>
      </c>
      <c r="Z56" s="64">
        <f t="shared" si="7"/>
        <v>0</v>
      </c>
      <c r="AB56" s="64">
        <f>COUNTIF(AO56:AO59,CONCATENATE("&gt;=",AO56))</f>
        <v>1</v>
      </c>
      <c r="AC56" s="65" t="str">
        <f>INDEX(T,63,lang)</f>
        <v>Бельгия</v>
      </c>
      <c r="AD56" s="64">
        <f>COUNTIF($V$13:$W$60,"=" &amp; AC56 &amp; "_win")</f>
        <v>0</v>
      </c>
      <c r="AE56" s="64">
        <f>COUNTIF($V$13:$W$60,"=" &amp; AC56 &amp; "_draw")</f>
        <v>0</v>
      </c>
      <c r="AF56" s="64">
        <f>COUNTIF($V$13:$W$60,"=" &amp; AC56 &amp; "_lose")</f>
        <v>0</v>
      </c>
      <c r="AG56" s="64">
        <f>SUMIF($E$13:$E$60,$AC56,$F$13:$F$60) + SUMIF($H$13:$H$60,$AC56,$G$13:$G$60)</f>
        <v>0</v>
      </c>
      <c r="AH56" s="64">
        <f>SUMIF($E$13:$E$60,$AC56,$G$13:$G$60) + SUMIF($H$13:$H$60,$AC56,$F$13:$F$60)</f>
        <v>0</v>
      </c>
      <c r="AI56" s="64">
        <f>(AG56-AH56)*100+AL56*10000+AG56</f>
        <v>0</v>
      </c>
      <c r="AJ56" s="64">
        <f>AG56-AH56</f>
        <v>0</v>
      </c>
      <c r="AK56" s="64">
        <f>(AJ56-AJ61)/AJ60</f>
        <v>0</v>
      </c>
      <c r="AL56" s="64">
        <f>AD56*3+AE56</f>
        <v>0</v>
      </c>
      <c r="AM56" s="64">
        <f>AQ56/AQ60*1000+AR56/AR60*100+AU56/AU60*10+AS56/AS60</f>
        <v>0</v>
      </c>
      <c r="AN56" s="64">
        <f>VLOOKUP(AC56,db_fifarank,2,FALSE)/2000000</f>
        <v>5.195E-4</v>
      </c>
      <c r="AO56" s="65">
        <f>1000*AL56/AL60+100*AK56+10*AG56/AG60+1*AM56/AM60+AN56</f>
        <v>5.195E-4</v>
      </c>
      <c r="AP56" s="66" t="str">
        <f>IF(SUM(AD56:AF59)=12,M57,INDEX(T,84,lang))</f>
        <v>1H</v>
      </c>
      <c r="AQ56" s="67">
        <f>SUMPRODUCT(($V$13:$V$60=AC56&amp;"_win")*($X$13:$X$60))+SUMPRODUCT(($W$13:$W$60=AC56&amp;"_win")*($X$13:$X$60))</f>
        <v>0</v>
      </c>
      <c r="AR56" s="68">
        <f>SUMPRODUCT(($V$13:$V$60=AC56&amp;"_draw")*($X$13:$X$60))+SUMPRODUCT(($W$13:$W$60=AC56&amp;"_draw")*($X$13:$X$60))</f>
        <v>0</v>
      </c>
      <c r="AS56" s="68">
        <f>SUMPRODUCT(($E$13:$E$60=AC56)*($X$13:$X$60)*($F$13:$F$60))+SUMPRODUCT(($H$13:$H$60=AC56)*($X$13:$X$60)*($G$13:$G$60))</f>
        <v>0</v>
      </c>
      <c r="AT56" s="68">
        <f>SUMPRODUCT(($E$13:$E$60=AC56)*($X$13:$X$60)*($G$13:$G$60))+SUMPRODUCT(($H$13:$H$60=AC56)*($X$13:$X$60)*($F$13:$F$60))</f>
        <v>0</v>
      </c>
      <c r="AU56" s="68">
        <f>AS56-AT56</f>
        <v>0</v>
      </c>
    </row>
    <row r="57" spans="1:47" x14ac:dyDescent="0.2">
      <c r="A57" s="89">
        <v>45</v>
      </c>
      <c r="B57" s="90" t="str">
        <f t="shared" si="0"/>
        <v>Пай</v>
      </c>
      <c r="C57" s="91" t="str">
        <f t="shared" si="1"/>
        <v>Июнь 26, 2014</v>
      </c>
      <c r="D57" s="92">
        <f t="shared" si="3"/>
        <v>0.875</v>
      </c>
      <c r="E57" s="93" t="str">
        <f>AC53</f>
        <v>АҚШ</v>
      </c>
      <c r="F57" s="54"/>
      <c r="G57" s="55"/>
      <c r="H57" s="100" t="str">
        <f>AC50</f>
        <v>Германия</v>
      </c>
      <c r="I57" s="222" t="str">
        <f>INDEX(T,111,lang)</f>
        <v>Ресифи</v>
      </c>
      <c r="J57" s="223"/>
      <c r="K57" s="224"/>
      <c r="M57" s="21" t="str">
        <f>VLOOKUP(1,AB56:AL59,2,FALSE)</f>
        <v>Бельгия</v>
      </c>
      <c r="N57" s="26">
        <f>O57+P57+Q57</f>
        <v>0</v>
      </c>
      <c r="O57" s="26">
        <f>VLOOKUP(1,AB56:AL59,3,FALSE)</f>
        <v>0</v>
      </c>
      <c r="P57" s="26">
        <f>VLOOKUP(1,AB56:AL59,4,FALSE)</f>
        <v>0</v>
      </c>
      <c r="Q57" s="26">
        <f>VLOOKUP(1,AB56:AL59,5,FALSE)</f>
        <v>0</v>
      </c>
      <c r="R57" s="26" t="str">
        <f>VLOOKUP(1,AB56:AL59,6,FALSE) &amp; " - " &amp; VLOOKUP(1,AB56:AL59,7,FALSE)</f>
        <v>0 - 0</v>
      </c>
      <c r="S57" s="27">
        <f>O57*3+P57</f>
        <v>0</v>
      </c>
      <c r="U57" s="64">
        <f>DATE(2014,6,26)+TIME(5,0,0)+gmt_delta</f>
        <v>41816.875</v>
      </c>
      <c r="V57" s="70" t="str">
        <f t="shared" si="4"/>
        <v/>
      </c>
      <c r="W57" s="70" t="str">
        <f t="shared" si="2"/>
        <v/>
      </c>
      <c r="X57" s="65">
        <f t="shared" si="5"/>
        <v>0</v>
      </c>
      <c r="Y57" s="64">
        <f t="shared" si="6"/>
        <v>0</v>
      </c>
      <c r="Z57" s="64">
        <f t="shared" si="7"/>
        <v>0</v>
      </c>
      <c r="AB57" s="64">
        <f>COUNTIF(AO56:AO59,CONCATENATE("&gt;=",AO57))</f>
        <v>3</v>
      </c>
      <c r="AC57" s="65" t="str">
        <f>INDEX(T,48,lang)</f>
        <v>Жазоир</v>
      </c>
      <c r="AD57" s="64">
        <f>COUNTIF($V$13:$W$60,"=" &amp; AC57 &amp; "_win")</f>
        <v>0</v>
      </c>
      <c r="AE57" s="64">
        <f>COUNTIF($V$13:$W$60,"=" &amp; AC57 &amp; "_draw")</f>
        <v>0</v>
      </c>
      <c r="AF57" s="64">
        <f>COUNTIF($V$13:$W$60,"=" &amp; AC57 &amp; "_lose")</f>
        <v>0</v>
      </c>
      <c r="AG57" s="64">
        <f>SUMIF($E$13:$E$60,$AC57,$F$13:$F$60) + SUMIF($H$13:$H$60,$AC57,$G$13:$G$60)</f>
        <v>0</v>
      </c>
      <c r="AH57" s="64">
        <f>SUMIF($E$13:$E$60,$AC57,$G$13:$G$60) + SUMIF($H$13:$H$60,$AC57,$F$13:$F$60)</f>
        <v>0</v>
      </c>
      <c r="AI57" s="64">
        <f>(AG57-AH57)*100+AL57*10000+AG57</f>
        <v>0</v>
      </c>
      <c r="AJ57" s="64">
        <f>AG57-AH57</f>
        <v>0</v>
      </c>
      <c r="AK57" s="64">
        <f>(AJ57-AJ61)/AJ60</f>
        <v>0</v>
      </c>
      <c r="AL57" s="64">
        <f>AD57*3+AE57</f>
        <v>0</v>
      </c>
      <c r="AM57" s="64">
        <f>AQ57/AQ60*1000+AR57/AR60*100+AU57/AU60*10+AS57/AS60</f>
        <v>0</v>
      </c>
      <c r="AN57" s="64">
        <f>VLOOKUP(AC57,db_fifarank,2,FALSE)/2000000</f>
        <v>3.9750000000000001E-4</v>
      </c>
      <c r="AO57" s="65">
        <f>1000*AL57/AL60+100*AK57+10*AG57/AG60+1*AM57/AM60+AN57</f>
        <v>3.9750000000000001E-4</v>
      </c>
      <c r="AP57" s="66" t="str">
        <f>IF(SUM(AD56:AF59)=12,M58,INDEX(T,85,lang))</f>
        <v>2H</v>
      </c>
      <c r="AQ57" s="67">
        <f>SUMPRODUCT(($V$13:$V$60=AC57&amp;"_win")*($X$13:$X$60))+SUMPRODUCT(($W$13:$W$60=AC57&amp;"_win")*($X$13:$X$60))</f>
        <v>0</v>
      </c>
      <c r="AR57" s="68">
        <f>SUMPRODUCT(($V$13:$V$60=AC57&amp;"_draw")*($X$13:$X$60))+SUMPRODUCT(($W$13:$W$60=AC57&amp;"_draw")*($X$13:$X$60))</f>
        <v>0</v>
      </c>
      <c r="AS57" s="68">
        <f>SUMPRODUCT(($E$13:$E$60=AC57)*($X$13:$X$60)*($F$13:$F$60))+SUMPRODUCT(($H$13:$H$60=AC57)*($X$13:$X$60)*($G$13:$G$60))</f>
        <v>0</v>
      </c>
      <c r="AT57" s="68">
        <f>SUMPRODUCT(($E$13:$E$60=AC57)*($X$13:$X$60)*($G$13:$G$60))+SUMPRODUCT(($H$13:$H$60=AC57)*($X$13:$X$60)*($F$13:$F$60))</f>
        <v>0</v>
      </c>
      <c r="AU57" s="68">
        <f>AS57-AT57</f>
        <v>0</v>
      </c>
    </row>
    <row r="58" spans="1:47" x14ac:dyDescent="0.2">
      <c r="A58" s="89">
        <v>46</v>
      </c>
      <c r="B58" s="90" t="str">
        <f t="shared" si="0"/>
        <v>Пай</v>
      </c>
      <c r="C58" s="91" t="str">
        <f t="shared" si="1"/>
        <v>Июнь 26, 2014</v>
      </c>
      <c r="D58" s="92">
        <f t="shared" si="3"/>
        <v>0.875</v>
      </c>
      <c r="E58" s="93" t="str">
        <f>AC51</f>
        <v>Португалия</v>
      </c>
      <c r="F58" s="54"/>
      <c r="G58" s="55"/>
      <c r="H58" s="100" t="str">
        <f>AC52</f>
        <v>Гана</v>
      </c>
      <c r="I58" s="222" t="str">
        <f>INDEX(T,104,lang)</f>
        <v>Бразилиа</v>
      </c>
      <c r="J58" s="223"/>
      <c r="K58" s="224"/>
      <c r="M58" s="22" t="str">
        <f>VLOOKUP(2,AB56:AL59,2,FALSE)</f>
        <v>Россия</v>
      </c>
      <c r="N58" s="28">
        <f>O58+P58+Q58</f>
        <v>0</v>
      </c>
      <c r="O58" s="28">
        <f>VLOOKUP(2,AB56:AL59,3,FALSE)</f>
        <v>0</v>
      </c>
      <c r="P58" s="28">
        <f>VLOOKUP(2,AB56:AL59,4,FALSE)</f>
        <v>0</v>
      </c>
      <c r="Q58" s="28">
        <f>VLOOKUP(2,AB56:AL59,5,FALSE)</f>
        <v>0</v>
      </c>
      <c r="R58" s="28" t="str">
        <f>VLOOKUP(2,AB56:AL59,6,FALSE) &amp; " - " &amp; VLOOKUP(2,AB56:AL59,7,FALSE)</f>
        <v>0 - 0</v>
      </c>
      <c r="S58" s="29">
        <f>O58*3+P58</f>
        <v>0</v>
      </c>
      <c r="U58" s="64">
        <f>DATE(2014,6,26)+TIME(5,0,0)+gmt_delta</f>
        <v>41816.875</v>
      </c>
      <c r="V58" s="70" t="str">
        <f t="shared" si="4"/>
        <v/>
      </c>
      <c r="W58" s="70" t="str">
        <f t="shared" si="2"/>
        <v/>
      </c>
      <c r="X58" s="65">
        <f t="shared" si="5"/>
        <v>0</v>
      </c>
      <c r="Y58" s="64">
        <f t="shared" si="6"/>
        <v>0</v>
      </c>
      <c r="Z58" s="64">
        <f t="shared" si="7"/>
        <v>0</v>
      </c>
      <c r="AB58" s="64">
        <f>COUNTIF(AO56:AO59,CONCATENATE("&gt;=",AO58))</f>
        <v>2</v>
      </c>
      <c r="AC58" s="65" t="str">
        <f>INDEX(T,49,lang)</f>
        <v>Россия</v>
      </c>
      <c r="AD58" s="64">
        <f>COUNTIF($V$13:$W$60,"=" &amp; AC58 &amp; "_win")</f>
        <v>0</v>
      </c>
      <c r="AE58" s="64">
        <f>COUNTIF($V$13:$W$60,"=" &amp; AC58 &amp; "_draw")</f>
        <v>0</v>
      </c>
      <c r="AF58" s="64">
        <f>COUNTIF($V$13:$W$60,"=" &amp; AC58 &amp; "_lose")</f>
        <v>0</v>
      </c>
      <c r="AG58" s="64">
        <f>SUMIF($E$13:$E$60,$AC58,$F$13:$F$60) + SUMIF($H$13:$H$60,$AC58,$G$13:$G$60)</f>
        <v>0</v>
      </c>
      <c r="AH58" s="64">
        <f>SUMIF($E$13:$E$60,$AC58,$G$13:$G$60) + SUMIF($H$13:$H$60,$AC58,$F$13:$F$60)</f>
        <v>0</v>
      </c>
      <c r="AI58" s="64">
        <f>(AG58-AH58)*100+AL58*10000+AG58</f>
        <v>0</v>
      </c>
      <c r="AJ58" s="64">
        <f>AG58-AH58</f>
        <v>0</v>
      </c>
      <c r="AK58" s="64">
        <f>(AJ58-AJ61)/AJ60</f>
        <v>0</v>
      </c>
      <c r="AL58" s="64">
        <f>AD58*3+AE58</f>
        <v>0</v>
      </c>
      <c r="AM58" s="64">
        <f>AQ58/AQ60*1000+AR58/AR60*100+AU58/AU60*10+AS58/AS60</f>
        <v>0</v>
      </c>
      <c r="AN58" s="64">
        <f>VLOOKUP(AC58,db_fifarank,2,FALSE)/2000000</f>
        <v>4.5150000000000002E-4</v>
      </c>
      <c r="AO58" s="65">
        <f>1000*AL58/AL60+100*AK58+10*AG58/AG60+1*AM58/AM60+AN58</f>
        <v>4.5150000000000002E-4</v>
      </c>
      <c r="AQ58" s="67">
        <f>SUMPRODUCT(($V$13:$V$60=AC58&amp;"_win")*($X$13:$X$60))+SUMPRODUCT(($W$13:$W$60=AC58&amp;"_win")*($X$13:$X$60))</f>
        <v>0</v>
      </c>
      <c r="AR58" s="68">
        <f>SUMPRODUCT(($V$13:$V$60=AC58&amp;"_draw")*($X$13:$X$60))+SUMPRODUCT(($W$13:$W$60=AC58&amp;"_draw")*($X$13:$X$60))</f>
        <v>0</v>
      </c>
      <c r="AS58" s="68">
        <f>SUMPRODUCT(($E$13:$E$60=AC58)*($X$13:$X$60)*($F$13:$F$60))+SUMPRODUCT(($H$13:$H$60=AC58)*($X$13:$X$60)*($G$13:$G$60))</f>
        <v>0</v>
      </c>
      <c r="AT58" s="68">
        <f>SUMPRODUCT(($E$13:$E$60=AC58)*($X$13:$X$60)*($G$13:$G$60))+SUMPRODUCT(($H$13:$H$60=AC58)*($X$13:$X$60)*($F$13:$F$60))</f>
        <v>0</v>
      </c>
      <c r="AU58" s="68">
        <f>AS58-AT58</f>
        <v>0</v>
      </c>
    </row>
    <row r="59" spans="1:47" x14ac:dyDescent="0.2">
      <c r="A59" s="89">
        <v>47</v>
      </c>
      <c r="B59" s="90" t="str">
        <f t="shared" si="0"/>
        <v>Жума</v>
      </c>
      <c r="C59" s="91" t="str">
        <f t="shared" si="1"/>
        <v>Июнь 27, 2014</v>
      </c>
      <c r="D59" s="92">
        <f t="shared" si="3"/>
        <v>4.1666666666666664E-2</v>
      </c>
      <c r="E59" s="93" t="str">
        <f>AC59</f>
        <v>Жанубий Корея</v>
      </c>
      <c r="F59" s="54"/>
      <c r="G59" s="55"/>
      <c r="H59" s="100" t="str">
        <f>AC56</f>
        <v>Бельгия</v>
      </c>
      <c r="I59" s="222" t="str">
        <f>INDEX(T,114,lang)</f>
        <v>Сан-Паулу</v>
      </c>
      <c r="J59" s="223"/>
      <c r="K59" s="224"/>
      <c r="M59" s="22" t="str">
        <f>VLOOKUP(3,AB56:AL59,2,FALSE)</f>
        <v>Жазоир</v>
      </c>
      <c r="N59" s="28">
        <f>O59+P59+Q59</f>
        <v>0</v>
      </c>
      <c r="O59" s="28">
        <f>VLOOKUP(3,AB56:AL59,3,FALSE)</f>
        <v>0</v>
      </c>
      <c r="P59" s="28">
        <f>VLOOKUP(3,AB56:AL59,4,FALSE)</f>
        <v>0</v>
      </c>
      <c r="Q59" s="28">
        <f>VLOOKUP(3,AB56:AL59,5,FALSE)</f>
        <v>0</v>
      </c>
      <c r="R59" s="28" t="str">
        <f>VLOOKUP(3,AB56:AL59,6,FALSE) &amp; " - " &amp; VLOOKUP(3,AB56:AL59,7,FALSE)</f>
        <v>0 - 0</v>
      </c>
      <c r="S59" s="29">
        <f>O59*3+P59</f>
        <v>0</v>
      </c>
      <c r="U59" s="64">
        <f>DATE(2014,6,26)+TIME(9,0,0)+gmt_delta</f>
        <v>41817.041666666664</v>
      </c>
      <c r="V59" s="70" t="str">
        <f t="shared" si="4"/>
        <v/>
      </c>
      <c r="W59" s="70" t="str">
        <f t="shared" si="2"/>
        <v/>
      </c>
      <c r="X59" s="65">
        <f t="shared" si="5"/>
        <v>0</v>
      </c>
      <c r="Y59" s="64">
        <f t="shared" si="6"/>
        <v>0</v>
      </c>
      <c r="Z59" s="64">
        <f t="shared" si="7"/>
        <v>0</v>
      </c>
      <c r="AB59" s="64">
        <f>COUNTIF(AO56:AO59,CONCATENATE("&gt;=",AO59))</f>
        <v>4</v>
      </c>
      <c r="AC59" s="65" t="str">
        <f>INDEX(T,44,lang)</f>
        <v>Жанубий Корея</v>
      </c>
      <c r="AD59" s="64">
        <f>COUNTIF($V$13:$W$60,"=" &amp; AC59 &amp; "_win")</f>
        <v>0</v>
      </c>
      <c r="AE59" s="64">
        <f>COUNTIF($V$13:$W$60,"=" &amp; AC59 &amp; "_draw")</f>
        <v>0</v>
      </c>
      <c r="AF59" s="64">
        <f>COUNTIF($V$13:$W$60,"=" &amp; AC59 &amp; "_lose")</f>
        <v>0</v>
      </c>
      <c r="AG59" s="64">
        <f>SUMIF($E$13:$E$60,$AC59,$F$13:$F$60) + SUMIF($H$13:$H$60,$AC59,$G$13:$G$60)</f>
        <v>0</v>
      </c>
      <c r="AH59" s="64">
        <f>SUMIF($E$13:$E$60,$AC59,$G$13:$G$60) + SUMIF($H$13:$H$60,$AC59,$F$13:$F$60)</f>
        <v>0</v>
      </c>
      <c r="AI59" s="64">
        <f>(AG59-AH59)*100+AL59*10000+AG59</f>
        <v>0</v>
      </c>
      <c r="AJ59" s="64">
        <f>AG59-AH59</f>
        <v>0</v>
      </c>
      <c r="AK59" s="64">
        <f>(AJ59-AJ61)/AJ60</f>
        <v>0</v>
      </c>
      <c r="AL59" s="64">
        <f>AD59*3+AE59</f>
        <v>0</v>
      </c>
      <c r="AM59" s="64">
        <f>AQ59/AQ60*1000+AR59/AR60*100+AU59/AU60*10+AS59/AS60</f>
        <v>0</v>
      </c>
      <c r="AN59" s="64">
        <f>VLOOKUP(AC59,db_fifarank,2,FALSE)/2000000</f>
        <v>2.7549999999999997E-4</v>
      </c>
      <c r="AO59" s="65">
        <f>1000*AL59/AL60+100*AK59+10*AG59/AG60+1*AM59/AM60+AN59</f>
        <v>2.7549999999999997E-4</v>
      </c>
      <c r="AQ59" s="67">
        <f>SUMPRODUCT(($V$13:$V$60=AC59&amp;"_win")*($X$13:$X$60))+SUMPRODUCT(($W$13:$W$60=AC59&amp;"_win")*($X$13:$X$60))</f>
        <v>0</v>
      </c>
      <c r="AR59" s="68">
        <f>SUMPRODUCT(($V$13:$V$60=AC59&amp;"_draw")*($X$13:$X$60))+SUMPRODUCT(($W$13:$W$60=AC59&amp;"_draw")*($X$13:$X$60))</f>
        <v>0</v>
      </c>
      <c r="AS59" s="68">
        <f>SUMPRODUCT(($E$13:$E$60=AC59)*($X$13:$X$60)*($F$13:$F$60))+SUMPRODUCT(($H$13:$H$60=AC59)*($X$13:$X$60)*($G$13:$G$60))</f>
        <v>0</v>
      </c>
      <c r="AT59" s="68">
        <f>SUMPRODUCT(($E$13:$E$60=AC59)*($X$13:$X$60)*($G$13:$G$60))+SUMPRODUCT(($H$13:$H$60=AC59)*($X$13:$X$60)*($F$13:$F$60))</f>
        <v>0</v>
      </c>
      <c r="AU59" s="68">
        <f>AS59-AT59</f>
        <v>0</v>
      </c>
    </row>
    <row r="60" spans="1:47" x14ac:dyDescent="0.2">
      <c r="A60" s="94">
        <v>48</v>
      </c>
      <c r="B60" s="95" t="str">
        <f t="shared" si="0"/>
        <v>Жума</v>
      </c>
      <c r="C60" s="96" t="str">
        <f t="shared" si="1"/>
        <v>Июнь 27, 2014</v>
      </c>
      <c r="D60" s="97">
        <f t="shared" si="3"/>
        <v>4.1666666666666664E-2</v>
      </c>
      <c r="E60" s="98" t="str">
        <f>AC57</f>
        <v>Жазоир</v>
      </c>
      <c r="F60" s="56"/>
      <c r="G60" s="57"/>
      <c r="H60" s="101" t="str">
        <f>AC58</f>
        <v>Россия</v>
      </c>
      <c r="I60" s="240" t="str">
        <f>INDEX(T,106,lang)</f>
        <v>Куритиба</v>
      </c>
      <c r="J60" s="241"/>
      <c r="K60" s="242"/>
      <c r="M60" s="23" t="str">
        <f>VLOOKUP(4,AB56:AL59,2,FALSE)</f>
        <v>Жанубий Корея</v>
      </c>
      <c r="N60" s="30">
        <f>O60+P60+Q60</f>
        <v>0</v>
      </c>
      <c r="O60" s="30">
        <f>VLOOKUP(4,AB56:AL59,3,FALSE)</f>
        <v>0</v>
      </c>
      <c r="P60" s="30">
        <f>VLOOKUP(4,AB56:AL59,4,FALSE)</f>
        <v>0</v>
      </c>
      <c r="Q60" s="30">
        <f>VLOOKUP(4,AB56:AL59,5,FALSE)</f>
        <v>0</v>
      </c>
      <c r="R60" s="30" t="str">
        <f>VLOOKUP(4,AB56:AL59,6,FALSE) &amp; " - " &amp; VLOOKUP(4,AB56:AL59,7,FALSE)</f>
        <v>0 - 0</v>
      </c>
      <c r="S60" s="31">
        <f>O60*3+P60</f>
        <v>0</v>
      </c>
      <c r="U60" s="64">
        <f>DATE(2014,6,26)+TIME(9,0,0)+gmt_delta</f>
        <v>41817.041666666664</v>
      </c>
      <c r="V60" s="70" t="str">
        <f t="shared" si="4"/>
        <v/>
      </c>
      <c r="W60" s="70" t="str">
        <f t="shared" si="2"/>
        <v/>
      </c>
      <c r="X60" s="65">
        <f t="shared" si="5"/>
        <v>0</v>
      </c>
      <c r="Y60" s="64">
        <f t="shared" si="6"/>
        <v>0</v>
      </c>
      <c r="Z60" s="64">
        <f t="shared" si="7"/>
        <v>0</v>
      </c>
      <c r="AD60" s="64">
        <f t="shared" ref="AD60:AM60" si="15">MAX(AD56:AD59)-MIN(AD56:AD59)+1</f>
        <v>1</v>
      </c>
      <c r="AE60" s="64">
        <f t="shared" si="15"/>
        <v>1</v>
      </c>
      <c r="AF60" s="64">
        <f t="shared" si="15"/>
        <v>1</v>
      </c>
      <c r="AG60" s="64">
        <f t="shared" si="15"/>
        <v>1</v>
      </c>
      <c r="AH60" s="64">
        <f t="shared" si="15"/>
        <v>1</v>
      </c>
      <c r="AI60" s="64">
        <f>MAX(AI56:AI59)-AI61+1</f>
        <v>1</v>
      </c>
      <c r="AJ60" s="64">
        <f>MAX(AJ56:AJ59)-AJ61+1</f>
        <v>1</v>
      </c>
      <c r="AL60" s="64">
        <f t="shared" si="15"/>
        <v>1</v>
      </c>
      <c r="AM60" s="64">
        <f t="shared" si="15"/>
        <v>1</v>
      </c>
      <c r="AQ60" s="64">
        <f>MAX(AQ56:AQ59)-MIN(AQ56:AQ59)+1</f>
        <v>1</v>
      </c>
      <c r="AR60" s="64">
        <f>MAX(AR56:AR59)-MIN(AR56:AR59)+1</f>
        <v>1</v>
      </c>
      <c r="AS60" s="64">
        <f>MAX(AS56:AS59)-MIN(AS56:AS59)+1</f>
        <v>1</v>
      </c>
      <c r="AT60" s="64">
        <f>MAX(AT56:AT59)-MIN(AT56:AT59)+1</f>
        <v>1</v>
      </c>
      <c r="AU60" s="64">
        <f>MAX(AU56:AU59)-MIN(AU56:AU59)+1</f>
        <v>1</v>
      </c>
    </row>
    <row r="61" spans="1:47" hidden="1" x14ac:dyDescent="0.2">
      <c r="A61" s="72"/>
      <c r="B61" s="73"/>
      <c r="C61" s="72"/>
      <c r="D61" s="74"/>
      <c r="E61" s="75"/>
      <c r="F61" s="82"/>
      <c r="G61" s="82"/>
      <c r="H61" s="76"/>
      <c r="I61" s="77"/>
      <c r="J61" s="78"/>
      <c r="K61" s="78"/>
      <c r="L61" s="79"/>
      <c r="M61" s="80"/>
      <c r="N61" s="72"/>
      <c r="O61" s="72"/>
      <c r="P61" s="72"/>
      <c r="Q61" s="72"/>
      <c r="R61" s="72"/>
      <c r="S61" s="72"/>
      <c r="AI61" s="64">
        <f>MIN(AI56:AI59)</f>
        <v>0</v>
      </c>
      <c r="AJ61" s="64">
        <f>MIN(AJ56:AJ59)</f>
        <v>0</v>
      </c>
    </row>
    <row r="62" spans="1:47" ht="12.75" hidden="1" customHeight="1" x14ac:dyDescent="0.2">
      <c r="B62" s="243" t="s">
        <v>2746</v>
      </c>
      <c r="C62" s="243"/>
      <c r="D62" s="243"/>
      <c r="E62" s="243"/>
      <c r="F62" s="130"/>
      <c r="G62" s="239" t="s">
        <v>2746</v>
      </c>
      <c r="H62" s="239"/>
      <c r="I62" s="239"/>
      <c r="J62" s="239"/>
      <c r="K62" s="239"/>
      <c r="L62" s="72"/>
      <c r="M62" s="243" t="s">
        <v>2746</v>
      </c>
      <c r="N62" s="243"/>
      <c r="O62" s="243"/>
      <c r="P62" s="243"/>
      <c r="Q62" s="243"/>
      <c r="R62" s="243"/>
      <c r="S62" s="243"/>
    </row>
    <row r="63" spans="1:47" ht="12.75" hidden="1" customHeight="1" x14ac:dyDescent="0.2">
      <c r="B63" s="243"/>
      <c r="C63" s="243"/>
      <c r="D63" s="243"/>
      <c r="E63" s="243"/>
      <c r="F63" s="130"/>
      <c r="G63" s="239"/>
      <c r="H63" s="239"/>
      <c r="I63" s="239"/>
      <c r="J63" s="239"/>
      <c r="K63" s="239"/>
      <c r="L63" s="72"/>
      <c r="M63" s="243"/>
      <c r="N63" s="243"/>
      <c r="O63" s="243"/>
      <c r="P63" s="243"/>
      <c r="Q63" s="243"/>
      <c r="R63" s="243"/>
      <c r="S63" s="243"/>
    </row>
    <row r="64" spans="1:47" ht="13.5" thickBot="1" x14ac:dyDescent="0.25">
      <c r="U64" s="64">
        <f>DATE(2014,6,28)+TIME(5,0,0)+gmt_delta</f>
        <v>41818.875</v>
      </c>
      <c r="V64" s="70" t="str">
        <f>IF(OR(F68="",G68=""),"",IF(F68&gt;G68,E68,IF(F68&lt;G68,H68,IF(OR(J68="",K68=""),"draw",IF(J68&gt;K68,E68,IF(J68&lt;K68,H68,"draw"))))))</f>
        <v/>
      </c>
      <c r="W64" s="70" t="str">
        <f>IF(OR(V64="",V64="draw"),INDEX(T,86,lang),V64)</f>
        <v>W49</v>
      </c>
    </row>
    <row r="65" spans="1:23" ht="12.75" customHeight="1" x14ac:dyDescent="0.2">
      <c r="A65" s="233" t="str">
        <f>INDEX(T,4,lang)</f>
        <v>Нимчорак финал</v>
      </c>
      <c r="B65" s="234"/>
      <c r="C65" s="234"/>
      <c r="D65" s="234"/>
      <c r="E65" s="234"/>
      <c r="F65" s="234"/>
      <c r="G65" s="234"/>
      <c r="H65" s="234"/>
      <c r="I65" s="234"/>
      <c r="J65" s="234"/>
      <c r="K65" s="235"/>
      <c r="M65" s="182" t="s">
        <v>2816</v>
      </c>
      <c r="N65" s="183"/>
      <c r="O65" s="183"/>
      <c r="P65" s="183"/>
      <c r="Q65" s="183"/>
      <c r="R65" s="183"/>
      <c r="S65" s="184"/>
      <c r="U65" s="64">
        <f>DATE(2014,6,28)+TIME(9,0,0)+gmt_delta</f>
        <v>41819.041666666664</v>
      </c>
      <c r="V65" s="70" t="str">
        <f>IF(OR(F69="",G69=""),"",IF(F69&gt;G69,E69,IF(F69&lt;G69,H69,IF(OR(J69="",K69=""),"draw",IF(J69&gt;K69,E69,IF(J69&lt;K69,H69,"draw"))))))</f>
        <v/>
      </c>
      <c r="W65" s="70" t="str">
        <f>IF(OR(V65="",V65="draw"),INDEX(T,87,lang),V65)</f>
        <v>W50</v>
      </c>
    </row>
    <row r="66" spans="1:23" ht="12.75" customHeight="1" thickBot="1" x14ac:dyDescent="0.25">
      <c r="A66" s="236"/>
      <c r="B66" s="237"/>
      <c r="C66" s="237"/>
      <c r="D66" s="237"/>
      <c r="E66" s="237"/>
      <c r="F66" s="237"/>
      <c r="G66" s="237"/>
      <c r="H66" s="237"/>
      <c r="I66" s="237"/>
      <c r="J66" s="237"/>
      <c r="K66" s="238"/>
      <c r="M66" s="185"/>
      <c r="N66" s="186"/>
      <c r="O66" s="186"/>
      <c r="P66" s="186"/>
      <c r="Q66" s="186"/>
      <c r="R66" s="186"/>
      <c r="S66" s="187"/>
      <c r="U66" s="64">
        <f>DATE(2014,6,29)+TIME(5,0,0)+gmt_delta</f>
        <v>41819.875</v>
      </c>
      <c r="V66" s="70" t="str">
        <f>IF(OR(F70="",G70=""),"",IF(F70&gt;G70,E70,IF(F70&lt;G70,H70,IF(OR(J70="",K70=""),"draw",IF(J70&gt;K70,E70,IF(J70&lt;K70,H70,"draw"))))))</f>
        <v/>
      </c>
      <c r="W66" s="70" t="str">
        <f>IF(OR(V66="",V66="draw"),INDEX(T,88,lang),V66)</f>
        <v>W51</v>
      </c>
    </row>
    <row r="67" spans="1:23" ht="12.75" customHeight="1" x14ac:dyDescent="0.2">
      <c r="A67" s="131"/>
      <c r="B67" s="131"/>
      <c r="C67" s="131"/>
      <c r="D67" s="131"/>
      <c r="E67" s="131"/>
      <c r="F67" s="244" t="s">
        <v>2740</v>
      </c>
      <c r="G67" s="245"/>
      <c r="H67" s="131"/>
      <c r="I67" s="132"/>
      <c r="J67" s="244" t="s">
        <v>2741</v>
      </c>
      <c r="K67" s="245"/>
      <c r="M67" s="147"/>
      <c r="N67" s="147"/>
      <c r="O67" s="147"/>
      <c r="P67" s="147"/>
      <c r="Q67" s="147"/>
      <c r="R67" s="147"/>
    </row>
    <row r="68" spans="1:23" ht="12.75" customHeight="1" x14ac:dyDescent="0.2">
      <c r="A68" s="102">
        <v>49</v>
      </c>
      <c r="B68" s="103" t="str">
        <f>INDEX(T,18+INT(MOD(U64-1,7)),lang)</f>
        <v>Шанба</v>
      </c>
      <c r="C68" s="104" t="str">
        <f>INDEX(T,24+MONTH(U64),lang) &amp; " " &amp; DAY(U64) &amp; ", " &amp; YEAR(U64)</f>
        <v>Июнь 28, 2014</v>
      </c>
      <c r="D68" s="105">
        <f>TIME(HOUR(U64),MINUTE(U64),0)</f>
        <v>0.875</v>
      </c>
      <c r="E68" s="106" t="str">
        <f>AP14</f>
        <v>1A</v>
      </c>
      <c r="F68" s="60"/>
      <c r="G68" s="61"/>
      <c r="H68" s="109" t="str">
        <f>AP21</f>
        <v>2B</v>
      </c>
      <c r="I68" s="110" t="str">
        <f>INDEX(T,103,lang)</f>
        <v>Белу Оризонти</v>
      </c>
      <c r="J68" s="60"/>
      <c r="K68" s="61"/>
      <c r="M68" s="188" t="s">
        <v>2817</v>
      </c>
      <c r="N68" s="188"/>
      <c r="O68" s="188"/>
      <c r="P68" s="188"/>
      <c r="Q68" s="188"/>
      <c r="R68" s="188"/>
      <c r="S68" s="188"/>
      <c r="U68" s="64">
        <f>DATE(2014,6,29)+TIME(9,0,0)+gmt_delta</f>
        <v>41820.041666666664</v>
      </c>
      <c r="V68" s="70" t="str">
        <f t="shared" ref="V68:V72" si="16">IF(OR(F71="",G71=""),"",IF(F71&gt;G71,E71,IF(F71&lt;G71,H71,IF(OR(J71="",K71=""),"draw",IF(J71&gt;K71,E71,IF(J71&lt;K71,H71,"draw"))))))</f>
        <v/>
      </c>
      <c r="W68" s="70" t="str">
        <f>IF(OR(V68="",V68="draw"),INDEX(T,89,lang),V68)</f>
        <v>W52</v>
      </c>
    </row>
    <row r="69" spans="1:23" ht="12.75" customHeight="1" x14ac:dyDescent="0.2">
      <c r="A69" s="89">
        <v>50</v>
      </c>
      <c r="B69" s="90" t="str">
        <f>INDEX(T,18+INT(MOD(U65-1,7)),lang)</f>
        <v>Якш</v>
      </c>
      <c r="C69" s="91" t="str">
        <f>INDEX(T,24+MONTH(U65),lang) &amp; " " &amp; DAY(U65) &amp; ", " &amp; YEAR(U65)</f>
        <v>Июнь 29, 2014</v>
      </c>
      <c r="D69" s="92">
        <f>TIME(HOUR(U65),MINUTE(U65),0)</f>
        <v>4.1666666666666664E-2</v>
      </c>
      <c r="E69" s="107" t="str">
        <f>AP26</f>
        <v>1C</v>
      </c>
      <c r="F69" s="54"/>
      <c r="G69" s="55"/>
      <c r="H69" s="111" t="str">
        <f>AP33</f>
        <v>2D</v>
      </c>
      <c r="I69" s="112" t="str">
        <f>INDEX(T,112,lang)</f>
        <v>Рио де Жанейро</v>
      </c>
      <c r="J69" s="54"/>
      <c r="K69" s="55"/>
      <c r="M69" s="188"/>
      <c r="N69" s="188"/>
      <c r="O69" s="188"/>
      <c r="P69" s="188"/>
      <c r="Q69" s="188"/>
      <c r="R69" s="188"/>
      <c r="S69" s="188"/>
      <c r="U69" s="64">
        <f>DATE(2014,6,30)+TIME(5,0,0)+gmt_delta</f>
        <v>41820.875</v>
      </c>
      <c r="V69" s="70" t="str">
        <f t="shared" si="16"/>
        <v/>
      </c>
      <c r="W69" s="70" t="str">
        <f>IF(OR(V69="",V69="draw"),INDEX(T,90,lang),V69)</f>
        <v>W53</v>
      </c>
    </row>
    <row r="70" spans="1:23" ht="12.75" customHeight="1" x14ac:dyDescent="0.2">
      <c r="A70" s="89">
        <v>51</v>
      </c>
      <c r="B70" s="90" t="str">
        <f>INDEX(T,18+INT(MOD(U66-1,7)),lang)</f>
        <v>Якш</v>
      </c>
      <c r="C70" s="91" t="str">
        <f>INDEX(T,24+MONTH(U66),lang) &amp; " " &amp; DAY(U66) &amp; ", " &amp; YEAR(U66)</f>
        <v>Июнь 29, 2014</v>
      </c>
      <c r="D70" s="92">
        <f>TIME(HOUR(U66),MINUTE(U66),0)</f>
        <v>0.875</v>
      </c>
      <c r="E70" s="107" t="str">
        <f>AP20</f>
        <v>1B</v>
      </c>
      <c r="F70" s="54"/>
      <c r="G70" s="55"/>
      <c r="H70" s="111" t="str">
        <f>AP15</f>
        <v>2A</v>
      </c>
      <c r="I70" s="112" t="str">
        <f>INDEX(T,107,lang)</f>
        <v>Форталеза</v>
      </c>
      <c r="J70" s="54"/>
      <c r="K70" s="55"/>
      <c r="M70" s="188"/>
      <c r="N70" s="188"/>
      <c r="O70" s="188"/>
      <c r="P70" s="188"/>
      <c r="Q70" s="188"/>
      <c r="R70" s="188"/>
      <c r="S70" s="188"/>
      <c r="U70" s="64">
        <f>DATE(2014,6,30)+TIME(9,0,0)+gmt_delta</f>
        <v>41821.041666666664</v>
      </c>
      <c r="V70" s="70" t="str">
        <f t="shared" si="16"/>
        <v/>
      </c>
      <c r="W70" s="70" t="str">
        <f>IF(OR(V70="",V70="draw"),INDEX(T,91,lang),V70)</f>
        <v>W54</v>
      </c>
    </row>
    <row r="71" spans="1:23" ht="12.75" customHeight="1" x14ac:dyDescent="0.2">
      <c r="A71" s="89">
        <v>52</v>
      </c>
      <c r="B71" s="90" t="str">
        <f t="shared" ref="B71:B75" si="17">INDEX(T,18+INT(MOD(U68-1,7)),lang)</f>
        <v>Душ</v>
      </c>
      <c r="C71" s="91" t="str">
        <f t="shared" ref="C71:C75" si="18">INDEX(T,24+MONTH(U68),lang) &amp; " " &amp; DAY(U68) &amp; ", " &amp; YEAR(U68)</f>
        <v>Июнь 30, 2014</v>
      </c>
      <c r="D71" s="92">
        <f t="shared" ref="D71:D75" si="19">TIME(HOUR(U68),MINUTE(U68),0)</f>
        <v>4.1666666666666664E-2</v>
      </c>
      <c r="E71" s="107" t="str">
        <f>AP32</f>
        <v>1D</v>
      </c>
      <c r="F71" s="54"/>
      <c r="G71" s="55"/>
      <c r="H71" s="111" t="str">
        <f>AP27</f>
        <v>2C</v>
      </c>
      <c r="I71" s="112" t="str">
        <f>INDEX(T,111,lang)</f>
        <v>Ресифи</v>
      </c>
      <c r="J71" s="54"/>
      <c r="K71" s="55"/>
      <c r="U71" s="64">
        <f>DATE(2014,7,1)+TIME(5,0,0)+gmt_delta</f>
        <v>41821.875</v>
      </c>
      <c r="V71" s="70" t="str">
        <f t="shared" si="16"/>
        <v/>
      </c>
      <c r="W71" s="70" t="str">
        <f>IF(OR(V71="",V71="draw"),INDEX(T,92,lang),V71)</f>
        <v>W55</v>
      </c>
    </row>
    <row r="72" spans="1:23" ht="12.75" customHeight="1" x14ac:dyDescent="0.2">
      <c r="A72" s="89">
        <v>53</v>
      </c>
      <c r="B72" s="90" t="str">
        <f t="shared" si="17"/>
        <v>Душ</v>
      </c>
      <c r="C72" s="91" t="str">
        <f t="shared" si="18"/>
        <v>Июнь 30, 2014</v>
      </c>
      <c r="D72" s="92">
        <f t="shared" si="19"/>
        <v>0.875</v>
      </c>
      <c r="E72" s="107" t="str">
        <f>AP38</f>
        <v>1E</v>
      </c>
      <c r="F72" s="54"/>
      <c r="G72" s="55"/>
      <c r="H72" s="111" t="str">
        <f>AP45</f>
        <v>2F</v>
      </c>
      <c r="I72" s="112" t="str">
        <f>INDEX(T,104,lang)</f>
        <v>Бразилиа</v>
      </c>
      <c r="J72" s="54"/>
      <c r="K72" s="55"/>
      <c r="M72" s="188" t="s">
        <v>2818</v>
      </c>
      <c r="N72" s="188"/>
      <c r="O72" s="188"/>
      <c r="P72" s="188"/>
      <c r="Q72" s="188"/>
      <c r="R72" s="188"/>
      <c r="S72" s="188"/>
      <c r="U72" s="64">
        <f>DATE(2014,7,1)+TIME(9,0,0)+gmt_delta</f>
        <v>41822.041666666664</v>
      </c>
      <c r="V72" s="70" t="str">
        <f t="shared" si="16"/>
        <v/>
      </c>
      <c r="W72" s="70" t="str">
        <f>IF(OR(V72="",V72="draw"),INDEX(T,93,lang),V72)</f>
        <v>W56</v>
      </c>
    </row>
    <row r="73" spans="1:23" ht="12.75" customHeight="1" x14ac:dyDescent="0.2">
      <c r="A73" s="89">
        <v>54</v>
      </c>
      <c r="B73" s="90" t="str">
        <f t="shared" si="17"/>
        <v>Сеш</v>
      </c>
      <c r="C73" s="91" t="str">
        <f t="shared" si="18"/>
        <v>Июль 1, 2014</v>
      </c>
      <c r="D73" s="92">
        <f t="shared" si="19"/>
        <v>4.1666666666666664E-2</v>
      </c>
      <c r="E73" s="107" t="str">
        <f>AP50</f>
        <v>1G</v>
      </c>
      <c r="F73" s="54"/>
      <c r="G73" s="55"/>
      <c r="H73" s="111" t="str">
        <f>AP57</f>
        <v>2H</v>
      </c>
      <c r="I73" s="112" t="str">
        <f>INDEX(T,110,lang)</f>
        <v>Порту Алегри</v>
      </c>
      <c r="J73" s="54"/>
      <c r="K73" s="55"/>
      <c r="M73" s="188"/>
      <c r="N73" s="188"/>
      <c r="O73" s="188"/>
      <c r="P73" s="188"/>
      <c r="Q73" s="188"/>
      <c r="R73" s="188"/>
      <c r="S73" s="188"/>
    </row>
    <row r="74" spans="1:23" ht="12.75" customHeight="1" x14ac:dyDescent="0.2">
      <c r="A74" s="89">
        <v>55</v>
      </c>
      <c r="B74" s="90" t="str">
        <f t="shared" si="17"/>
        <v>Сеш</v>
      </c>
      <c r="C74" s="91" t="str">
        <f t="shared" si="18"/>
        <v>Июль 1, 2014</v>
      </c>
      <c r="D74" s="92">
        <f t="shared" si="19"/>
        <v>0.875</v>
      </c>
      <c r="E74" s="107" t="str">
        <f>AP44</f>
        <v>1F</v>
      </c>
      <c r="F74" s="54"/>
      <c r="G74" s="55"/>
      <c r="H74" s="111" t="str">
        <f>AP39</f>
        <v>2E</v>
      </c>
      <c r="I74" s="112" t="str">
        <f>INDEX(T,114,lang)</f>
        <v>Сан-Паулу</v>
      </c>
      <c r="J74" s="54"/>
      <c r="K74" s="55"/>
      <c r="M74" s="188"/>
      <c r="N74" s="188"/>
      <c r="O74" s="188"/>
      <c r="P74" s="188"/>
      <c r="Q74" s="188"/>
      <c r="R74" s="188"/>
      <c r="S74" s="188"/>
    </row>
    <row r="75" spans="1:23" ht="12.75" customHeight="1" x14ac:dyDescent="0.2">
      <c r="A75" s="94">
        <v>56</v>
      </c>
      <c r="B75" s="95" t="str">
        <f t="shared" si="17"/>
        <v>Чор</v>
      </c>
      <c r="C75" s="96" t="str">
        <f t="shared" si="18"/>
        <v>Июль 2, 2014</v>
      </c>
      <c r="D75" s="97">
        <f t="shared" si="19"/>
        <v>4.1666666666666664E-2</v>
      </c>
      <c r="E75" s="108" t="str">
        <f>AP56</f>
        <v>1H</v>
      </c>
      <c r="F75" s="56"/>
      <c r="G75" s="57"/>
      <c r="H75" s="113" t="str">
        <f>AP51</f>
        <v>2G</v>
      </c>
      <c r="I75" s="114" t="str">
        <f>INDEX(T,113,lang)</f>
        <v>Сальвадор</v>
      </c>
      <c r="J75" s="56"/>
      <c r="K75" s="57"/>
    </row>
    <row r="76" spans="1:23" ht="12.75" customHeight="1" x14ac:dyDescent="0.2">
      <c r="U76" s="64">
        <f>DATE(2014,7,4)+TIME(9,0,0)+gmt_delta</f>
        <v>41825.041666666664</v>
      </c>
      <c r="V76" s="70" t="str">
        <f>IF(OR(F79="",G79=""),"",IF(F79&gt;G79,E79,IF(F79&lt;G79,H79,IF(OR(J79="",K79=""),"draw",IF(J79&gt;K79,E79,IF(J79&lt;K79,H79,"draw"))))))</f>
        <v/>
      </c>
      <c r="W76" s="70" t="str">
        <f>IF(OR(V76="",V76="draw"),INDEX(T,94,lang),V76)</f>
        <v>W57</v>
      </c>
    </row>
    <row r="77" spans="1:23" ht="12.75" customHeight="1" x14ac:dyDescent="0.2">
      <c r="A77" s="233" t="str">
        <f>INDEX(T,5,lang)</f>
        <v>Чорак финал</v>
      </c>
      <c r="B77" s="234"/>
      <c r="C77" s="234"/>
      <c r="D77" s="234"/>
      <c r="E77" s="234"/>
      <c r="F77" s="234"/>
      <c r="G77" s="234"/>
      <c r="H77" s="234"/>
      <c r="I77" s="234"/>
      <c r="J77" s="234"/>
      <c r="K77" s="235"/>
      <c r="U77" s="64">
        <f>DATE(2014,7,4)+TIME(5,0,0)+gmt_delta</f>
        <v>41824.875</v>
      </c>
      <c r="V77" s="70" t="str">
        <f>IF(OR(F80="",G80=""),"",IF(F80&gt;G80,E80,IF(F80&lt;G80,H80,IF(OR(J80="",K80=""),"draw",IF(J80&gt;K80,E80,IF(J80&lt;K80,H80,"draw"))))))</f>
        <v/>
      </c>
      <c r="W77" s="70" t="str">
        <f>IF(OR(V77="",V77="draw"),INDEX(T,95,lang),V77)</f>
        <v>W58</v>
      </c>
    </row>
    <row r="78" spans="1:23" ht="12.75" customHeight="1" x14ac:dyDescent="0.2">
      <c r="A78" s="236"/>
      <c r="B78" s="237"/>
      <c r="C78" s="237"/>
      <c r="D78" s="237"/>
      <c r="E78" s="237"/>
      <c r="F78" s="237"/>
      <c r="G78" s="237"/>
      <c r="H78" s="237"/>
      <c r="I78" s="237"/>
      <c r="J78" s="237"/>
      <c r="K78" s="238"/>
      <c r="N78" s="24"/>
      <c r="O78" s="24"/>
      <c r="P78" s="24"/>
      <c r="Q78" s="24"/>
      <c r="R78" s="24"/>
      <c r="S78" s="24"/>
      <c r="U78" s="64">
        <f>DATE(2014,7,5)+TIME(9,0,0)+gmt_delta</f>
        <v>41826.041666666664</v>
      </c>
      <c r="V78" s="70" t="str">
        <f>IF(OR(F81="",G81=""),"",IF(F81&gt;G81,E81,IF(F81&lt;G81,H81,IF(OR(J81="",K81=""),"draw",IF(J81&gt;K81,E81,IF(J81&lt;K81,H81,"draw"))))))</f>
        <v/>
      </c>
      <c r="W78" s="70" t="str">
        <f>IF(OR(V78="",V78="draw"),INDEX(T,96,lang),V78)</f>
        <v>W59</v>
      </c>
    </row>
    <row r="79" spans="1:23" ht="12.75" customHeight="1" x14ac:dyDescent="0.2">
      <c r="A79" s="102">
        <v>57</v>
      </c>
      <c r="B79" s="115" t="str">
        <f>INDEX(T,18+INT(MOD(U76-1,7)),lang)</f>
        <v>Шанба</v>
      </c>
      <c r="C79" s="104" t="str">
        <f>INDEX(T,24+MONTH(U76),lang) &amp; " " &amp; DAY(U76) &amp; ", " &amp; YEAR(U76)</f>
        <v>Июль 5, 2014</v>
      </c>
      <c r="D79" s="105">
        <f>TIME(HOUR(U76),MINUTE(U76),0)</f>
        <v>4.1666666666666664E-2</v>
      </c>
      <c r="E79" s="106" t="str">
        <f>W64</f>
        <v>W49</v>
      </c>
      <c r="F79" s="60"/>
      <c r="G79" s="61"/>
      <c r="H79" s="109" t="str">
        <f>W65</f>
        <v>W50</v>
      </c>
      <c r="I79" s="118" t="str">
        <f>INDEX(T,107,lang)</f>
        <v>Форталеза</v>
      </c>
      <c r="J79" s="60"/>
      <c r="K79" s="61"/>
      <c r="N79" s="24"/>
      <c r="O79" s="24"/>
      <c r="P79" s="24"/>
      <c r="Q79" s="24"/>
      <c r="R79" s="24"/>
      <c r="S79" s="24"/>
      <c r="U79" s="64">
        <f>DATE(2014,7,5)+TIME(5,0,0)+gmt_delta</f>
        <v>41825.875</v>
      </c>
      <c r="V79" s="70" t="str">
        <f>IF(OR(F82="",G82=""),"",IF(F82&gt;G82,E82,IF(F82&lt;G82,H82,IF(OR(J82="",K82=""),"draw",IF(J82&gt;K82,E82,IF(J82&lt;K82,H82,"draw"))))))</f>
        <v/>
      </c>
      <c r="W79" s="70" t="str">
        <f>IF(OR(V79="",V79="draw"),INDEX(T,97,lang),V79)</f>
        <v>W60</v>
      </c>
    </row>
    <row r="80" spans="1:23" ht="12.75" customHeight="1" x14ac:dyDescent="0.2">
      <c r="A80" s="89">
        <v>58</v>
      </c>
      <c r="B80" s="116" t="str">
        <f>INDEX(T,18+INT(MOD(U77-1,7)),lang)</f>
        <v>Жума</v>
      </c>
      <c r="C80" s="91" t="str">
        <f>INDEX(T,24+MONTH(U77),lang) &amp; " " &amp; DAY(U77) &amp; ", " &amp; YEAR(U77)</f>
        <v>Июль 4, 2014</v>
      </c>
      <c r="D80" s="92">
        <f>TIME(HOUR(U77),MINUTE(U77),0)</f>
        <v>0.875</v>
      </c>
      <c r="E80" s="107" t="str">
        <f>W69</f>
        <v>W53</v>
      </c>
      <c r="F80" s="54"/>
      <c r="G80" s="55"/>
      <c r="H80" s="111" t="str">
        <f>W70</f>
        <v>W54</v>
      </c>
      <c r="I80" s="112" t="str">
        <f>INDEX(T,112,lang)</f>
        <v>Рио де Жанейро</v>
      </c>
      <c r="J80" s="54"/>
      <c r="K80" s="55"/>
      <c r="N80" s="24"/>
      <c r="O80" s="24"/>
      <c r="P80" s="24"/>
      <c r="Q80" s="24"/>
      <c r="R80" s="24"/>
      <c r="S80" s="24"/>
    </row>
    <row r="81" spans="1:50" ht="12.75" customHeight="1" x14ac:dyDescent="0.2">
      <c r="A81" s="89">
        <v>59</v>
      </c>
      <c r="B81" s="116" t="str">
        <f>INDEX(T,18+INT(MOD(U78-1,7)),lang)</f>
        <v>Якш</v>
      </c>
      <c r="C81" s="91" t="str">
        <f>INDEX(T,24+MONTH(U78),lang) &amp; " " &amp; DAY(U78) &amp; ", " &amp; YEAR(U78)</f>
        <v>Июль 6, 2014</v>
      </c>
      <c r="D81" s="92">
        <f>TIME(HOUR(U78),MINUTE(U78),0)</f>
        <v>4.1666666666666664E-2</v>
      </c>
      <c r="E81" s="107" t="str">
        <f>W66</f>
        <v>W51</v>
      </c>
      <c r="F81" s="54"/>
      <c r="G81" s="55"/>
      <c r="H81" s="111" t="str">
        <f>W68</f>
        <v>W52</v>
      </c>
      <c r="I81" s="119" t="str">
        <f>INDEX(T,113,lang)</f>
        <v>Сальвадор</v>
      </c>
      <c r="J81" s="54"/>
      <c r="K81" s="55"/>
      <c r="N81" s="24"/>
      <c r="O81" s="24"/>
      <c r="P81" s="24"/>
      <c r="Q81" s="24"/>
      <c r="R81" s="24"/>
      <c r="S81" s="24"/>
    </row>
    <row r="82" spans="1:50" ht="12.75" customHeight="1" x14ac:dyDescent="0.2">
      <c r="A82" s="94">
        <v>60</v>
      </c>
      <c r="B82" s="117" t="str">
        <f>INDEX(T,18+INT(MOD(U79-1,7)),lang)</f>
        <v>Шанба</v>
      </c>
      <c r="C82" s="96" t="str">
        <f>INDEX(T,24+MONTH(U79),lang) &amp; " " &amp; DAY(U79) &amp; ", " &amp; YEAR(U79)</f>
        <v>Июль 5, 2014</v>
      </c>
      <c r="D82" s="97">
        <f>TIME(HOUR(U79),MINUTE(U79),0)</f>
        <v>0.875</v>
      </c>
      <c r="E82" s="108" t="str">
        <f>W71</f>
        <v>W55</v>
      </c>
      <c r="F82" s="56"/>
      <c r="G82" s="57"/>
      <c r="H82" s="113" t="str">
        <f>W72</f>
        <v>W56</v>
      </c>
      <c r="I82" s="120" t="str">
        <f>INDEX(T,104,lang)</f>
        <v>Бразилиа</v>
      </c>
      <c r="J82" s="56"/>
      <c r="K82" s="57"/>
    </row>
    <row r="83" spans="1:50" ht="12.75" customHeight="1" x14ac:dyDescent="0.2">
      <c r="U83" s="64">
        <f>DATE(2014,7,8)+TIME(9,0,0)+gmt_delta</f>
        <v>41829.041666666664</v>
      </c>
      <c r="V83" s="70" t="str">
        <f>IF(OR(F86="",G86=""),"",IF(F86&gt;G86,E86,IF(F86&lt;G86,H86,IF(OR(J86="",K86=""),"draw",IF(J86&gt;K86,E86,IF(J86&lt;K86,H86,"draw"))))))</f>
        <v/>
      </c>
      <c r="W83" s="70" t="str">
        <f>IF(OR(V83="",V83="draw"),INDEX(T,98,lang),V83)</f>
        <v>W61</v>
      </c>
      <c r="X83" s="70" t="str">
        <f>IF(OR(F86="",G86=""),"",IF(F86&lt;G86,E86,IF(F86&gt;G86,H86,IF(OR(J86="",K86=""),"draw",IF(J86&lt;K86,E86,IF(J86&gt;K86,H86,"draw"))))))</f>
        <v/>
      </c>
      <c r="AA83" s="70" t="str">
        <f>IF(OR(X83="",X83="draw"),INDEX(T,100,lang),X83)</f>
        <v>L61</v>
      </c>
    </row>
    <row r="84" spans="1:50" ht="12.75" customHeight="1" x14ac:dyDescent="0.2">
      <c r="A84" s="233" t="str">
        <f>INDEX(T,6,lang)</f>
        <v>Ярим финал</v>
      </c>
      <c r="B84" s="234"/>
      <c r="C84" s="234"/>
      <c r="D84" s="234"/>
      <c r="E84" s="234"/>
      <c r="F84" s="234"/>
      <c r="G84" s="234"/>
      <c r="H84" s="234"/>
      <c r="I84" s="234"/>
      <c r="J84" s="234"/>
      <c r="K84" s="235"/>
      <c r="U84" s="64">
        <f>DATE(2014,7,9)+TIME(9,0,0)+gmt_delta</f>
        <v>41830.041666666664</v>
      </c>
      <c r="V84" s="70" t="str">
        <f>IF(OR(F87="",G87=""),"",IF(F87&gt;G87,E87,IF(F87&lt;G87,H87,IF(OR(J87="",K87=""),"draw",IF(J87&gt;K87,E87,IF(J87&lt;K87,H87,"draw"))))))</f>
        <v/>
      </c>
      <c r="W84" s="70" t="str">
        <f>IF(OR(V84="",V84="draw"),INDEX(T,99,lang),V84)</f>
        <v>W62</v>
      </c>
      <c r="X84" s="70" t="str">
        <f>IF(OR(F87="",G87=""),"",IF(F87&lt;G87,E87,IF(F87&gt;G87,H87,IF(OR(J87="",K87=""),"draw",IF(J87&lt;K87,E87,IF(J87&gt;K87,H87,"draw"))))))</f>
        <v/>
      </c>
      <c r="AA84" s="70" t="str">
        <f>IF(OR(X84="",X84="draw"),INDEX(T,101,lang),X84)</f>
        <v>L62</v>
      </c>
    </row>
    <row r="85" spans="1:50" x14ac:dyDescent="0.2">
      <c r="A85" s="236"/>
      <c r="B85" s="237"/>
      <c r="C85" s="237"/>
      <c r="D85" s="237"/>
      <c r="E85" s="237"/>
      <c r="F85" s="237"/>
      <c r="G85" s="237"/>
      <c r="H85" s="237"/>
      <c r="I85" s="237"/>
      <c r="J85" s="237"/>
      <c r="K85" s="238"/>
    </row>
    <row r="86" spans="1:50" ht="12.75" customHeight="1" x14ac:dyDescent="0.2">
      <c r="A86" s="102">
        <v>61</v>
      </c>
      <c r="B86" s="115" t="str">
        <f>INDEX(T,18+INT(MOD(U83-1,7)),lang)</f>
        <v>Чор</v>
      </c>
      <c r="C86" s="104" t="str">
        <f>INDEX(T,24+MONTH(U83),lang) &amp; " " &amp; DAY(U83) &amp; ", " &amp; YEAR(U83)</f>
        <v>Июль 9, 2014</v>
      </c>
      <c r="D86" s="105">
        <f>TIME(HOUR(U83),MINUTE(U83),0)</f>
        <v>4.1666666666666664E-2</v>
      </c>
      <c r="E86" s="106" t="str">
        <f>W76</f>
        <v>W57</v>
      </c>
      <c r="F86" s="60"/>
      <c r="G86" s="61"/>
      <c r="H86" s="109" t="str">
        <f>W77</f>
        <v>W58</v>
      </c>
      <c r="I86" s="118" t="str">
        <f>INDEX(T,103,lang)</f>
        <v>Белу Оризонти</v>
      </c>
      <c r="J86" s="60"/>
      <c r="K86" s="61"/>
    </row>
    <row r="87" spans="1:50" ht="12.75" customHeight="1" x14ac:dyDescent="0.2">
      <c r="A87" s="94">
        <v>62</v>
      </c>
      <c r="B87" s="117" t="str">
        <f>INDEX(T,18+INT(MOD(U84-1,7)),lang)</f>
        <v>Пай</v>
      </c>
      <c r="C87" s="96" t="str">
        <f>INDEX(T,24+MONTH(U84),lang) &amp; " " &amp; DAY(U84) &amp; ", " &amp; YEAR(U84)</f>
        <v>Июль 10, 2014</v>
      </c>
      <c r="D87" s="97">
        <f>TIME(HOUR(U84),MINUTE(U84),0)</f>
        <v>4.1666666666666664E-2</v>
      </c>
      <c r="E87" s="108" t="str">
        <f>W78</f>
        <v>W59</v>
      </c>
      <c r="F87" s="56"/>
      <c r="G87" s="57"/>
      <c r="H87" s="113" t="str">
        <f>W79</f>
        <v>W60</v>
      </c>
      <c r="I87" s="120" t="str">
        <f>INDEX(T,114,lang)</f>
        <v>Сан-Паулу</v>
      </c>
      <c r="J87" s="56"/>
      <c r="K87" s="57"/>
    </row>
    <row r="88" spans="1:50" x14ac:dyDescent="0.2">
      <c r="U88" s="64">
        <f>DATE(2014,7,12)+TIME(9,0,0)+gmt_delta</f>
        <v>41833.041666666664</v>
      </c>
      <c r="W88" s="70" t="str">
        <f>IF(OR(F91="",G91=""),"",IF(F91&gt;G91,E91,IF(F91&lt;G91,H91,IF(OR(J91="",K91=""),"",IF(J91&gt;K91,E91,IF(J91&lt;K91,H91,""))))))</f>
        <v/>
      </c>
    </row>
    <row r="89" spans="1:50" x14ac:dyDescent="0.2">
      <c r="A89" s="233" t="str">
        <f>INDEX(T,7,lang)</f>
        <v>3-ўрин учун баҳс</v>
      </c>
      <c r="B89" s="234"/>
      <c r="C89" s="234"/>
      <c r="D89" s="234"/>
      <c r="E89" s="234"/>
      <c r="F89" s="234"/>
      <c r="G89" s="234"/>
      <c r="H89" s="234"/>
      <c r="I89" s="234"/>
      <c r="J89" s="234"/>
      <c r="K89" s="235"/>
    </row>
    <row r="90" spans="1:50" ht="12.75" customHeight="1" x14ac:dyDescent="0.2">
      <c r="A90" s="236"/>
      <c r="B90" s="237"/>
      <c r="C90" s="237"/>
      <c r="D90" s="237"/>
      <c r="E90" s="237"/>
      <c r="F90" s="237"/>
      <c r="G90" s="237"/>
      <c r="H90" s="237"/>
      <c r="I90" s="237"/>
      <c r="J90" s="237"/>
      <c r="K90" s="238"/>
    </row>
    <row r="91" spans="1:50" ht="12.75" customHeight="1" x14ac:dyDescent="0.2">
      <c r="A91" s="94">
        <v>63</v>
      </c>
      <c r="B91" s="117" t="str">
        <f>INDEX(T,18+INT(MOD(U88-1,7)),lang)</f>
        <v>Якш</v>
      </c>
      <c r="C91" s="96" t="str">
        <f>INDEX(T,24+MONTH(U88),lang) &amp; " " &amp; DAY(U88) &amp; ", " &amp; YEAR(U88)</f>
        <v>Июль 13, 2014</v>
      </c>
      <c r="D91" s="97">
        <f>TIME(HOUR(U88),MINUTE(U88),0)</f>
        <v>4.1666666666666664E-2</v>
      </c>
      <c r="E91" s="121" t="str">
        <f>AA83</f>
        <v>L61</v>
      </c>
      <c r="F91" s="62"/>
      <c r="G91" s="63"/>
      <c r="H91" s="122" t="str">
        <f>AA84</f>
        <v>L62</v>
      </c>
      <c r="I91" s="123" t="str">
        <f>INDEX(T,104,lang)</f>
        <v>Бразилиа</v>
      </c>
      <c r="J91" s="62"/>
      <c r="K91" s="63"/>
      <c r="AX91" s="69" t="str">
        <f>IF(OR(F91="",G91=""),"",IF(F91&gt;G91,E91,IF(F91&lt;G91,H91,IF(OR(I91="",J91=""),"",IF(I91&gt;J91,E91,IF(I91&lt;J91,H91,""))))))</f>
        <v/>
      </c>
    </row>
    <row r="92" spans="1:50" x14ac:dyDescent="0.2">
      <c r="U92" s="64">
        <f>DATE(2014,7,13)+TIME(8,0,0)+gmt_delta</f>
        <v>41834</v>
      </c>
      <c r="V92" s="70" t="str">
        <f>IF(OR(F95="",G95=""),"",IF(F95&gt;G95,E95,IF(F95&lt;G95,H95,IF(OR(J95="",K95=""),"",IF(J95&gt;K95,E95,IF(J95&lt;K95,H95,""))))))</f>
        <v/>
      </c>
      <c r="W92" s="70" t="str">
        <f>V92</f>
        <v/>
      </c>
    </row>
    <row r="93" spans="1:50" x14ac:dyDescent="0.2">
      <c r="A93" s="233" t="str">
        <f>INDEX(T,8,lang)</f>
        <v>Финал</v>
      </c>
      <c r="B93" s="234"/>
      <c r="C93" s="234"/>
      <c r="D93" s="234"/>
      <c r="E93" s="234"/>
      <c r="F93" s="234"/>
      <c r="G93" s="234"/>
      <c r="H93" s="234"/>
      <c r="I93" s="234"/>
      <c r="J93" s="234"/>
      <c r="K93" s="235"/>
    </row>
    <row r="94" spans="1:50" ht="12.75" customHeight="1" x14ac:dyDescent="0.2">
      <c r="A94" s="236"/>
      <c r="B94" s="237"/>
      <c r="C94" s="237"/>
      <c r="D94" s="237"/>
      <c r="E94" s="237"/>
      <c r="F94" s="237"/>
      <c r="G94" s="237"/>
      <c r="H94" s="237"/>
      <c r="I94" s="237"/>
      <c r="J94" s="237"/>
      <c r="K94" s="238"/>
    </row>
    <row r="95" spans="1:50" ht="12.75" customHeight="1" x14ac:dyDescent="0.2">
      <c r="A95" s="94">
        <v>64</v>
      </c>
      <c r="B95" s="117" t="str">
        <f>INDEX(T,18+INT(MOD(U92-1,7)),lang)</f>
        <v>Душ</v>
      </c>
      <c r="C95" s="96" t="str">
        <f>INDEX(T,24+MONTH(U92),lang) &amp; " " &amp; DAY(U92) &amp; ", " &amp; YEAR(U92)</f>
        <v>Июль 14, 2014</v>
      </c>
      <c r="D95" s="97">
        <f>TIME(HOUR(U92),MINUTE(U92),0)</f>
        <v>0</v>
      </c>
      <c r="E95" s="121" t="str">
        <f>W83</f>
        <v>W61</v>
      </c>
      <c r="F95" s="62"/>
      <c r="G95" s="63"/>
      <c r="H95" s="122" t="str">
        <f>W84</f>
        <v>W62</v>
      </c>
      <c r="I95" s="123" t="str">
        <f>INDEX(T,112,lang)</f>
        <v>Рио де Жанейро</v>
      </c>
      <c r="J95" s="62"/>
      <c r="K95" s="63"/>
    </row>
    <row r="96" spans="1:50" ht="13.5" thickBot="1" x14ac:dyDescent="0.25"/>
    <row r="97" spans="1:12" x14ac:dyDescent="0.2">
      <c r="A97" s="225" t="str">
        <f>INDEX(T,102,lang)</f>
        <v>2014 йилги Жаҳон Чемпиони</v>
      </c>
      <c r="B97" s="225"/>
      <c r="C97" s="225"/>
      <c r="D97" s="225"/>
      <c r="E97" s="225"/>
      <c r="F97" s="227" t="str">
        <f>V92</f>
        <v/>
      </c>
      <c r="G97" s="228"/>
      <c r="H97" s="228"/>
      <c r="I97" s="228"/>
      <c r="J97" s="228"/>
      <c r="K97" s="229"/>
    </row>
    <row r="98" spans="1:12" ht="13.5" thickBot="1" x14ac:dyDescent="0.25">
      <c r="A98" s="226"/>
      <c r="B98" s="226"/>
      <c r="C98" s="226"/>
      <c r="D98" s="226"/>
      <c r="E98" s="226"/>
      <c r="F98" s="230"/>
      <c r="G98" s="231"/>
      <c r="H98" s="231"/>
      <c r="I98" s="231"/>
      <c r="J98" s="231"/>
      <c r="K98" s="232"/>
    </row>
    <row r="100" spans="1:12" ht="13.5" thickBot="1" x14ac:dyDescent="0.25"/>
    <row r="101" spans="1:12" ht="21.75" thickBot="1" x14ac:dyDescent="0.25">
      <c r="A101" s="216" t="s">
        <v>2747</v>
      </c>
      <c r="B101" s="217"/>
      <c r="C101" s="217"/>
      <c r="D101" s="217"/>
      <c r="E101" s="218"/>
      <c r="H101" s="205" t="s">
        <v>2787</v>
      </c>
      <c r="I101" s="206"/>
      <c r="J101" s="206"/>
      <c r="K101" s="207"/>
      <c r="L101" s="162"/>
    </row>
    <row r="102" spans="1:12" ht="15" customHeight="1" thickBot="1" x14ac:dyDescent="0.25">
      <c r="A102" s="246"/>
      <c r="B102" s="246"/>
      <c r="C102" s="246"/>
      <c r="D102" s="246"/>
      <c r="E102" s="145"/>
    </row>
    <row r="103" spans="1:12" ht="15" customHeight="1" x14ac:dyDescent="0.2">
      <c r="A103" s="212" t="s">
        <v>2748</v>
      </c>
      <c r="B103" s="213"/>
      <c r="C103" s="213"/>
      <c r="D103" s="213"/>
      <c r="E103" s="167"/>
      <c r="H103" s="208" t="s">
        <v>2758</v>
      </c>
      <c r="I103" s="209"/>
      <c r="J103" s="210" t="s">
        <v>2771</v>
      </c>
      <c r="K103" s="211"/>
    </row>
    <row r="104" spans="1:12" ht="15" customHeight="1" x14ac:dyDescent="0.2">
      <c r="A104" s="214" t="s">
        <v>2749</v>
      </c>
      <c r="B104" s="215"/>
      <c r="C104" s="215"/>
      <c r="D104" s="215"/>
      <c r="E104" s="168"/>
      <c r="H104" s="197" t="s">
        <v>2759</v>
      </c>
      <c r="I104" s="198"/>
      <c r="J104" s="194" t="s">
        <v>2772</v>
      </c>
      <c r="K104" s="195"/>
    </row>
    <row r="105" spans="1:12" ht="15" customHeight="1" x14ac:dyDescent="0.2">
      <c r="A105" s="214" t="s">
        <v>2750</v>
      </c>
      <c r="B105" s="215"/>
      <c r="C105" s="215"/>
      <c r="D105" s="215"/>
      <c r="E105" s="168" t="s">
        <v>2707</v>
      </c>
      <c r="H105" s="197" t="s">
        <v>2760</v>
      </c>
      <c r="I105" s="198"/>
      <c r="J105" s="194" t="s">
        <v>2772</v>
      </c>
      <c r="K105" s="195"/>
    </row>
    <row r="106" spans="1:12" ht="15" customHeight="1" thickBot="1" x14ac:dyDescent="0.25">
      <c r="A106" s="247" t="s">
        <v>2749</v>
      </c>
      <c r="B106" s="248"/>
      <c r="C106" s="248"/>
      <c r="D106" s="248"/>
      <c r="E106" s="169"/>
      <c r="F106" s="144"/>
      <c r="H106" s="197" t="s">
        <v>2761</v>
      </c>
      <c r="I106" s="198"/>
      <c r="J106" s="194" t="s">
        <v>2773</v>
      </c>
      <c r="K106" s="195"/>
    </row>
    <row r="107" spans="1:12" ht="15" customHeight="1" thickBot="1" x14ac:dyDescent="0.25">
      <c r="A107" s="146"/>
      <c r="B107" s="146"/>
      <c r="C107" s="146"/>
      <c r="D107" s="146"/>
      <c r="E107" s="146"/>
      <c r="F107" s="146"/>
      <c r="H107" s="197" t="s">
        <v>2788</v>
      </c>
      <c r="I107" s="198"/>
      <c r="J107" s="194" t="s">
        <v>2771</v>
      </c>
      <c r="K107" s="195"/>
    </row>
    <row r="108" spans="1:12" ht="15" customHeight="1" x14ac:dyDescent="0.2">
      <c r="A108" s="266" t="s">
        <v>2809</v>
      </c>
      <c r="B108" s="267"/>
      <c r="C108" s="267"/>
      <c r="D108" s="267"/>
      <c r="E108" s="267"/>
      <c r="F108" s="268"/>
      <c r="H108" s="197" t="s">
        <v>2789</v>
      </c>
      <c r="I108" s="198"/>
      <c r="J108" s="194" t="s">
        <v>2773</v>
      </c>
      <c r="K108" s="195"/>
    </row>
    <row r="109" spans="1:12" ht="15" customHeight="1" x14ac:dyDescent="0.2">
      <c r="A109" s="269"/>
      <c r="B109" s="270"/>
      <c r="C109" s="270"/>
      <c r="D109" s="270"/>
      <c r="E109" s="270"/>
      <c r="F109" s="271"/>
      <c r="H109" s="197" t="s">
        <v>2803</v>
      </c>
      <c r="I109" s="198"/>
      <c r="J109" s="194" t="s">
        <v>2774</v>
      </c>
      <c r="K109" s="195"/>
    </row>
    <row r="110" spans="1:12" ht="15" customHeight="1" x14ac:dyDescent="0.2">
      <c r="A110" s="269"/>
      <c r="B110" s="270"/>
      <c r="C110" s="270"/>
      <c r="D110" s="270"/>
      <c r="E110" s="270"/>
      <c r="F110" s="271"/>
      <c r="H110" s="197" t="s">
        <v>2762</v>
      </c>
      <c r="I110" s="198"/>
      <c r="J110" s="194" t="s">
        <v>2772</v>
      </c>
      <c r="K110" s="195"/>
    </row>
    <row r="111" spans="1:12" ht="15" customHeight="1" x14ac:dyDescent="0.2">
      <c r="A111" s="269"/>
      <c r="B111" s="270"/>
      <c r="C111" s="270"/>
      <c r="D111" s="270"/>
      <c r="E111" s="270"/>
      <c r="F111" s="271"/>
      <c r="H111" s="197" t="s">
        <v>2763</v>
      </c>
      <c r="I111" s="198"/>
      <c r="J111" s="194" t="s">
        <v>2775</v>
      </c>
      <c r="K111" s="195"/>
    </row>
    <row r="112" spans="1:12" ht="15" customHeight="1" x14ac:dyDescent="0.2">
      <c r="A112" s="269"/>
      <c r="B112" s="270"/>
      <c r="C112" s="270"/>
      <c r="D112" s="270"/>
      <c r="E112" s="270"/>
      <c r="F112" s="271"/>
      <c r="H112" s="197" t="s">
        <v>2764</v>
      </c>
      <c r="I112" s="198"/>
      <c r="J112" s="194" t="s">
        <v>2776</v>
      </c>
      <c r="K112" s="195"/>
    </row>
    <row r="113" spans="1:11" ht="15" customHeight="1" x14ac:dyDescent="0.2">
      <c r="A113" s="269"/>
      <c r="B113" s="270"/>
      <c r="C113" s="270"/>
      <c r="D113" s="270"/>
      <c r="E113" s="270"/>
      <c r="F113" s="271"/>
      <c r="H113" s="197" t="s">
        <v>2765</v>
      </c>
      <c r="I113" s="198"/>
      <c r="J113" s="201" t="s">
        <v>2773</v>
      </c>
      <c r="K113" s="202"/>
    </row>
    <row r="114" spans="1:11" ht="15" customHeight="1" x14ac:dyDescent="0.2">
      <c r="A114" s="269"/>
      <c r="B114" s="270"/>
      <c r="C114" s="270"/>
      <c r="D114" s="270"/>
      <c r="E114" s="270"/>
      <c r="F114" s="271"/>
      <c r="H114" s="197" t="s">
        <v>2766</v>
      </c>
      <c r="I114" s="198"/>
      <c r="J114" s="194" t="s">
        <v>2777</v>
      </c>
      <c r="K114" s="195"/>
    </row>
    <row r="115" spans="1:11" ht="15" customHeight="1" x14ac:dyDescent="0.2">
      <c r="A115" s="269"/>
      <c r="B115" s="270"/>
      <c r="C115" s="270"/>
      <c r="D115" s="270"/>
      <c r="E115" s="270"/>
      <c r="F115" s="271"/>
      <c r="H115" s="197" t="s">
        <v>2767</v>
      </c>
      <c r="I115" s="198"/>
      <c r="J115" s="194" t="s">
        <v>2778</v>
      </c>
      <c r="K115" s="195"/>
    </row>
    <row r="116" spans="1:11" ht="15" customHeight="1" x14ac:dyDescent="0.2">
      <c r="A116" s="269"/>
      <c r="B116" s="270"/>
      <c r="C116" s="270"/>
      <c r="D116" s="270"/>
      <c r="E116" s="270"/>
      <c r="F116" s="271"/>
      <c r="H116" s="203" t="s">
        <v>2804</v>
      </c>
      <c r="I116" s="204"/>
      <c r="J116" s="199" t="s">
        <v>2777</v>
      </c>
      <c r="K116" s="200"/>
    </row>
    <row r="117" spans="1:11" ht="15" customHeight="1" x14ac:dyDescent="0.2">
      <c r="A117" s="269"/>
      <c r="B117" s="270"/>
      <c r="C117" s="270"/>
      <c r="D117" s="270"/>
      <c r="E117" s="270"/>
      <c r="F117" s="271"/>
      <c r="H117" s="203" t="s">
        <v>2805</v>
      </c>
      <c r="I117" s="204"/>
      <c r="J117" s="199" t="s">
        <v>2784</v>
      </c>
      <c r="K117" s="200"/>
    </row>
    <row r="118" spans="1:11" ht="15" customHeight="1" x14ac:dyDescent="0.2">
      <c r="A118" s="269"/>
      <c r="B118" s="270"/>
      <c r="C118" s="270"/>
      <c r="D118" s="270"/>
      <c r="E118" s="270"/>
      <c r="F118" s="271"/>
      <c r="H118" s="203" t="s">
        <v>2806</v>
      </c>
      <c r="I118" s="204"/>
      <c r="J118" s="199" t="s">
        <v>2774</v>
      </c>
      <c r="K118" s="200"/>
    </row>
    <row r="119" spans="1:11" ht="15" customHeight="1" x14ac:dyDescent="0.2">
      <c r="A119" s="269"/>
      <c r="B119" s="270"/>
      <c r="C119" s="270"/>
      <c r="D119" s="270"/>
      <c r="E119" s="270"/>
      <c r="F119" s="271"/>
      <c r="H119" s="203" t="s">
        <v>2807</v>
      </c>
      <c r="I119" s="204"/>
      <c r="J119" s="199" t="s">
        <v>2784</v>
      </c>
      <c r="K119" s="200"/>
    </row>
    <row r="120" spans="1:11" ht="15" customHeight="1" x14ac:dyDescent="0.2">
      <c r="A120" s="269"/>
      <c r="B120" s="270"/>
      <c r="C120" s="270"/>
      <c r="D120" s="270"/>
      <c r="E120" s="270"/>
      <c r="F120" s="271"/>
      <c r="H120" s="197" t="s">
        <v>2790</v>
      </c>
      <c r="I120" s="198"/>
      <c r="J120" s="194" t="s">
        <v>2776</v>
      </c>
      <c r="K120" s="195"/>
    </row>
    <row r="121" spans="1:11" ht="15" customHeight="1" x14ac:dyDescent="0.2">
      <c r="A121" s="269"/>
      <c r="B121" s="270"/>
      <c r="C121" s="270"/>
      <c r="D121" s="270"/>
      <c r="E121" s="270"/>
      <c r="F121" s="271"/>
      <c r="H121" s="197" t="s">
        <v>2770</v>
      </c>
      <c r="I121" s="198"/>
      <c r="J121" s="194" t="s">
        <v>2808</v>
      </c>
      <c r="K121" s="195"/>
    </row>
    <row r="122" spans="1:11" ht="15" customHeight="1" x14ac:dyDescent="0.2">
      <c r="A122" s="269"/>
      <c r="B122" s="270"/>
      <c r="C122" s="270"/>
      <c r="D122" s="270"/>
      <c r="E122" s="270"/>
      <c r="F122" s="271"/>
      <c r="H122" s="197" t="s">
        <v>2768</v>
      </c>
      <c r="I122" s="198"/>
      <c r="J122" s="194" t="s">
        <v>2776</v>
      </c>
      <c r="K122" s="195"/>
    </row>
    <row r="123" spans="1:11" ht="15" customHeight="1" x14ac:dyDescent="0.2">
      <c r="A123" s="269"/>
      <c r="B123" s="270"/>
      <c r="C123" s="270"/>
      <c r="D123" s="270"/>
      <c r="E123" s="270"/>
      <c r="F123" s="271"/>
      <c r="H123" s="193" t="s">
        <v>2769</v>
      </c>
      <c r="I123" s="194"/>
      <c r="J123" s="194" t="s">
        <v>2779</v>
      </c>
      <c r="K123" s="195"/>
    </row>
    <row r="124" spans="1:11" x14ac:dyDescent="0.2">
      <c r="A124" s="269"/>
      <c r="B124" s="270"/>
      <c r="C124" s="270"/>
      <c r="D124" s="270"/>
      <c r="E124" s="270"/>
      <c r="F124" s="271"/>
      <c r="H124" s="193" t="s">
        <v>2780</v>
      </c>
      <c r="I124" s="194"/>
      <c r="J124" s="260" t="s">
        <v>2777</v>
      </c>
      <c r="K124" s="261"/>
    </row>
    <row r="125" spans="1:11" x14ac:dyDescent="0.2">
      <c r="A125" s="269"/>
      <c r="B125" s="270"/>
      <c r="C125" s="270"/>
      <c r="D125" s="270"/>
      <c r="E125" s="270"/>
      <c r="F125" s="271"/>
      <c r="H125" s="193" t="s">
        <v>2781</v>
      </c>
      <c r="I125" s="194"/>
      <c r="J125" s="260" t="s">
        <v>2784</v>
      </c>
      <c r="K125" s="261"/>
    </row>
    <row r="126" spans="1:11" x14ac:dyDescent="0.2">
      <c r="A126" s="269"/>
      <c r="B126" s="270"/>
      <c r="C126" s="270"/>
      <c r="D126" s="270"/>
      <c r="E126" s="270"/>
      <c r="F126" s="271"/>
      <c r="H126" s="193" t="s">
        <v>2782</v>
      </c>
      <c r="I126" s="194"/>
      <c r="J126" s="260" t="s">
        <v>2773</v>
      </c>
      <c r="K126" s="261"/>
    </row>
    <row r="127" spans="1:11" ht="13.5" thickBot="1" x14ac:dyDescent="0.25">
      <c r="A127" s="272"/>
      <c r="B127" s="273"/>
      <c r="C127" s="273"/>
      <c r="D127" s="273"/>
      <c r="E127" s="273"/>
      <c r="F127" s="274"/>
      <c r="H127" s="262" t="s">
        <v>2783</v>
      </c>
      <c r="I127" s="263"/>
      <c r="J127" s="264" t="s">
        <v>2774</v>
      </c>
      <c r="K127" s="265"/>
    </row>
  </sheetData>
  <sheetProtection password="A0A2" sheet="1" objects="1" scenarios="1"/>
  <protectedRanges>
    <protectedRange sqref="E5:H5" name="Диапазон3"/>
    <protectedRange sqref="E3:H3" name="Диапазон1"/>
    <protectedRange sqref="E4:H4" name="Диапазон2"/>
    <protectedRange sqref="E6:H6" name="Диапазон4"/>
    <protectedRange sqref="E103:E106" name="Диапазон5"/>
  </protectedRanges>
  <mergeCells count="138">
    <mergeCell ref="H124:I124"/>
    <mergeCell ref="J124:K124"/>
    <mergeCell ref="H125:I125"/>
    <mergeCell ref="J125:K125"/>
    <mergeCell ref="H126:I126"/>
    <mergeCell ref="J126:K126"/>
    <mergeCell ref="H127:I127"/>
    <mergeCell ref="J127:K127"/>
    <mergeCell ref="A108:F127"/>
    <mergeCell ref="H118:I118"/>
    <mergeCell ref="H119:I119"/>
    <mergeCell ref="H120:I120"/>
    <mergeCell ref="H121:I121"/>
    <mergeCell ref="H117:I117"/>
    <mergeCell ref="H111:I111"/>
    <mergeCell ref="H112:I112"/>
    <mergeCell ref="H113:I113"/>
    <mergeCell ref="H114:I114"/>
    <mergeCell ref="H115:I115"/>
    <mergeCell ref="A102:D102"/>
    <mergeCell ref="A106:D106"/>
    <mergeCell ref="A1:S1"/>
    <mergeCell ref="M11:S12"/>
    <mergeCell ref="A11:K12"/>
    <mergeCell ref="C9:F9"/>
    <mergeCell ref="H9:J9"/>
    <mergeCell ref="B3:D3"/>
    <mergeCell ref="B4:D4"/>
    <mergeCell ref="B5:D5"/>
    <mergeCell ref="B6:D6"/>
    <mergeCell ref="E3:H3"/>
    <mergeCell ref="E4:H4"/>
    <mergeCell ref="M62:S63"/>
    <mergeCell ref="I38:K38"/>
    <mergeCell ref="I50:K50"/>
    <mergeCell ref="I23:K23"/>
    <mergeCell ref="I24:K24"/>
    <mergeCell ref="I26:K26"/>
    <mergeCell ref="I28:K28"/>
    <mergeCell ref="I31:K31"/>
    <mergeCell ref="I36:K36"/>
    <mergeCell ref="I37:K37"/>
    <mergeCell ref="I27:K27"/>
    <mergeCell ref="I25:K25"/>
    <mergeCell ref="I45:K45"/>
    <mergeCell ref="I33:K33"/>
    <mergeCell ref="I40:K40"/>
    <mergeCell ref="I32:K32"/>
    <mergeCell ref="I52:K52"/>
    <mergeCell ref="I47:K47"/>
    <mergeCell ref="I44:K44"/>
    <mergeCell ref="I41:K41"/>
    <mergeCell ref="I43:K43"/>
    <mergeCell ref="I46:K46"/>
    <mergeCell ref="I48:K48"/>
    <mergeCell ref="A93:K94"/>
    <mergeCell ref="I56:K56"/>
    <mergeCell ref="I57:K57"/>
    <mergeCell ref="I60:K60"/>
    <mergeCell ref="A84:K85"/>
    <mergeCell ref="I58:K58"/>
    <mergeCell ref="I49:K49"/>
    <mergeCell ref="A77:K78"/>
    <mergeCell ref="I53:K53"/>
    <mergeCell ref="I59:K59"/>
    <mergeCell ref="A65:K66"/>
    <mergeCell ref="I54:K54"/>
    <mergeCell ref="B62:E63"/>
    <mergeCell ref="I55:K55"/>
    <mergeCell ref="F67:G67"/>
    <mergeCell ref="J67:K67"/>
    <mergeCell ref="I51:K51"/>
    <mergeCell ref="A103:D103"/>
    <mergeCell ref="A104:D104"/>
    <mergeCell ref="A105:D105"/>
    <mergeCell ref="A101:E101"/>
    <mergeCell ref="I13:K13"/>
    <mergeCell ref="I22:K22"/>
    <mergeCell ref="I18:K18"/>
    <mergeCell ref="I20:K20"/>
    <mergeCell ref="I21:K21"/>
    <mergeCell ref="I15:K15"/>
    <mergeCell ref="I17:K17"/>
    <mergeCell ref="I16:K16"/>
    <mergeCell ref="I19:K19"/>
    <mergeCell ref="I14:K14"/>
    <mergeCell ref="A97:E98"/>
    <mergeCell ref="F97:K98"/>
    <mergeCell ref="I29:K29"/>
    <mergeCell ref="I30:K30"/>
    <mergeCell ref="I34:K34"/>
    <mergeCell ref="I42:K42"/>
    <mergeCell ref="I35:K35"/>
    <mergeCell ref="I39:K39"/>
    <mergeCell ref="A89:K90"/>
    <mergeCell ref="G62:K63"/>
    <mergeCell ref="J106:K106"/>
    <mergeCell ref="J107:K107"/>
    <mergeCell ref="H116:I116"/>
    <mergeCell ref="H106:I106"/>
    <mergeCell ref="H107:I107"/>
    <mergeCell ref="H108:I108"/>
    <mergeCell ref="H109:I109"/>
    <mergeCell ref="H110:I110"/>
    <mergeCell ref="H101:K101"/>
    <mergeCell ref="H103:I103"/>
    <mergeCell ref="H104:I104"/>
    <mergeCell ref="H105:I105"/>
    <mergeCell ref="J103:K103"/>
    <mergeCell ref="J104:K104"/>
    <mergeCell ref="J105:K105"/>
    <mergeCell ref="J108:K108"/>
    <mergeCell ref="J109:K109"/>
    <mergeCell ref="J110:K110"/>
    <mergeCell ref="M6:S7"/>
    <mergeCell ref="M3:S4"/>
    <mergeCell ref="M65:S66"/>
    <mergeCell ref="M68:S70"/>
    <mergeCell ref="M72:S74"/>
    <mergeCell ref="E5:H5"/>
    <mergeCell ref="E6:H6"/>
    <mergeCell ref="B7:H7"/>
    <mergeCell ref="H123:I123"/>
    <mergeCell ref="J123:K123"/>
    <mergeCell ref="M9:S9"/>
    <mergeCell ref="J121:K121"/>
    <mergeCell ref="H122:I122"/>
    <mergeCell ref="J122:K122"/>
    <mergeCell ref="J116:K116"/>
    <mergeCell ref="J117:K117"/>
    <mergeCell ref="J118:K118"/>
    <mergeCell ref="J119:K119"/>
    <mergeCell ref="J120:K120"/>
    <mergeCell ref="J111:K111"/>
    <mergeCell ref="J112:K112"/>
    <mergeCell ref="J113:K113"/>
    <mergeCell ref="J114:K114"/>
    <mergeCell ref="J115:K115"/>
  </mergeCells>
  <phoneticPr fontId="2" type="noConversion"/>
  <conditionalFormatting sqref="F91 F95 F79:F82 F86:F87 F68:F75 F13:F61">
    <cfRule type="expression" dxfId="47" priority="32" stopIfTrue="1">
      <formula>IF(AND($F13&gt;$G13,ISNUMBER($F13),ISNUMBER($G13)),1,0)</formula>
    </cfRule>
  </conditionalFormatting>
  <conditionalFormatting sqref="G91 G95 G79:G82 G86:G87 G68:G75 G13:G61">
    <cfRule type="expression" dxfId="46" priority="33" stopIfTrue="1">
      <formula>IF(AND($F13&lt;$G13,ISNUMBER($F13),ISNUMBER($G13)),1,0)</formula>
    </cfRule>
  </conditionalFormatting>
  <conditionalFormatting sqref="M21:S21 M15:S15 M51:S51 M27:S27 M33:S33 M39:S39 M45:S45 M57:S57">
    <cfRule type="expression" dxfId="45" priority="40" stopIfTrue="1">
      <formula>IF(SUM($N15:$N18)=12,1,0)</formula>
    </cfRule>
  </conditionalFormatting>
  <conditionalFormatting sqref="M22:S22 M16:S16 M52:S52 M28:S28 M34:S34 M40:S40 M46:S46 M58:S58">
    <cfRule type="expression" dxfId="44" priority="41" stopIfTrue="1">
      <formula>IF(SUM($N15:$N18)=12,1,0)</formula>
    </cfRule>
  </conditionalFormatting>
  <conditionalFormatting sqref="M24:S24 M18:S18 M54:S54 M30:S30 M36:S36 M42:S42 M48:S48 M60:S61">
    <cfRule type="expression" dxfId="43" priority="43" stopIfTrue="1">
      <formula>IF(SUM($N15:$N18)=12,1,0)</formula>
    </cfRule>
  </conditionalFormatting>
  <conditionalFormatting sqref="M17:S17 M23:S23 M29:S29 M35:S35 M41:S41 M47:S47 M53:S53 M59:S59">
    <cfRule type="expression" dxfId="42" priority="51" stopIfTrue="1">
      <formula>IF(SUM($N15:$N18)=12,1,0)</formula>
    </cfRule>
  </conditionalFormatting>
  <conditionalFormatting sqref="E13:E61">
    <cfRule type="expression" dxfId="41" priority="58" stopIfTrue="1">
      <formula>IF(AND($F13&gt;$G13,ISNUMBER($F13),ISNUMBER($G13)),1,0)</formula>
    </cfRule>
    <cfRule type="expression" dxfId="40" priority="59" stopIfTrue="1">
      <formula>IF(AND($F13&lt;$G13,ISNUMBER($F13),ISNUMBER($G13)),1,0)</formula>
    </cfRule>
    <cfRule type="expression" dxfId="39" priority="60" stopIfTrue="1">
      <formula>IF(AND($F13=$G13,ISNUMBER($F13),ISNUMBER($G13)),1,0)</formula>
    </cfRule>
  </conditionalFormatting>
  <conditionalFormatting sqref="H13:H61">
    <cfRule type="expression" dxfId="38" priority="61" stopIfTrue="1">
      <formula>IF(AND($F13&lt;$G13,ISNUMBER($F13),ISNUMBER($G13)),1,0)</formula>
    </cfRule>
    <cfRule type="expression" dxfId="37" priority="62" stopIfTrue="1">
      <formula>IF(AND($F13&gt;$G13,ISNUMBER($F13),ISNUMBER($G13)),1,0)</formula>
    </cfRule>
    <cfRule type="expression" dxfId="36" priority="63" stopIfTrue="1">
      <formula>IF(AND($F13=$G13,ISNUMBER($F13),ISNUMBER($G13)),1,0)</formula>
    </cfRule>
  </conditionalFormatting>
  <conditionalFormatting sqref="J68:J75 J79:J82 J86:J87 J91 J95">
    <cfRule type="expression" dxfId="35" priority="68" stopIfTrue="1">
      <formula>IF(AND($J68&gt;$K68,ISNUMBER($J68),ISNUMBER($K68)),1,0)</formula>
    </cfRule>
  </conditionalFormatting>
  <conditionalFormatting sqref="K68:K75 K79:K82 K86:K87 K91 K95">
    <cfRule type="expression" dxfId="34" priority="69" stopIfTrue="1">
      <formula>IF(AND($J68&lt;$K68,ISNUMBER($J68),ISNUMBER($K68)),1,0)</formula>
    </cfRule>
  </conditionalFormatting>
  <conditionalFormatting sqref="E79:E82 E86:E87 E91 E95 E71:E75">
    <cfRule type="expression" dxfId="33" priority="92" stopIfTrue="1">
      <formula>IF($E71=$W68,1,0)</formula>
    </cfRule>
    <cfRule type="expression" dxfId="32" priority="93" stopIfTrue="1">
      <formula>IF($H71=$W68,1,0)</formula>
    </cfRule>
  </conditionalFormatting>
  <conditionalFormatting sqref="H79:H82 H86:H87 H91 H95 H71:H75">
    <cfRule type="expression" dxfId="31" priority="102" stopIfTrue="1">
      <formula>IF($H71=$W68,1,0)</formula>
    </cfRule>
    <cfRule type="expression" dxfId="30" priority="103" stopIfTrue="1">
      <formula>IF($E71=$W68,1,0)</formula>
    </cfRule>
  </conditionalFormatting>
  <conditionalFormatting sqref="E68:E70">
    <cfRule type="expression" dxfId="29" priority="104" stopIfTrue="1">
      <formula>IF($E68=$W64,1,0)</formula>
    </cfRule>
    <cfRule type="expression" dxfId="28" priority="105" stopIfTrue="1">
      <formula>IF($H68=$W64,1,0)</formula>
    </cfRule>
  </conditionalFormatting>
  <conditionalFormatting sqref="H68:H70">
    <cfRule type="expression" dxfId="27" priority="108" stopIfTrue="1">
      <formula>IF($H68=$W64,1,0)</formula>
    </cfRule>
    <cfRule type="expression" dxfId="26" priority="109" stopIfTrue="1">
      <formula>IF($E68=$W64,1,0)</formula>
    </cfRule>
  </conditionalFormatting>
  <conditionalFormatting sqref="F67">
    <cfRule type="expression" dxfId="25" priority="2" stopIfTrue="1">
      <formula>IF(AND($F67&gt;$G67,ISNUMBER($F67),ISNUMBER($G67)),1,0)</formula>
    </cfRule>
  </conditionalFormatting>
  <conditionalFormatting sqref="J67">
    <cfRule type="expression" dxfId="24" priority="1" stopIfTrue="1">
      <formula>IF(AND($F67&gt;$G67,ISNUMBER($F67),ISNUMBER($G67)),1,0)</formula>
    </cfRule>
  </conditionalFormatting>
  <dataValidations count="3">
    <dataValidation type="list" allowBlank="1" showInputMessage="1" showErrorMessage="1" sqref="F68:G75 F79:G82 F86:G87 F91:G91 F95:G95 F13:G61">
      <formula1>"0,1,2,3,4,5,6,7,8,9"</formula1>
    </dataValidation>
    <dataValidation type="list" allowBlank="1" showInputMessage="1" showErrorMessage="1" sqref="J95:K95 J68:K75 J79:K82 J86:K87 J91:K91">
      <formula1>"0,1,2,3,4,5,6,7,8,9,10,11,12,13,14,15,16,17,18,19,20"</formula1>
    </dataValidation>
    <dataValidation type="list" allowBlank="1" showInputMessage="1" showErrorMessage="1" sqref="E105">
      <formula1>Жамоалар</formula1>
    </dataValidation>
  </dataValidations>
  <hyperlinks>
    <hyperlink ref="M11:S11" r:id="rId1" tooltip="Excel Schedule" display="Home Page: www.excely.com"/>
    <hyperlink ref="M11:S12" r:id="rId2" tooltip="World Cup 2014 Schedule in Excel" display="Home Page: www.excely.com"/>
    <hyperlink ref="M68:S70" r:id="rId3" display="      XUSHNUDBEK.UZ"/>
    <hyperlink ref="M72:S74" r:id="rId4" display="      STADION.UZ"/>
    <hyperlink ref="M3:S4" location="'Anketa-2014'!H101" display="Очколар ҳақида маълумот"/>
    <hyperlink ref="M6:S7" location="'Sizning natijangiz'!A1" display="Очколарингизни ўзингиз ҳисобланг!!!"/>
  </hyperlinks>
  <printOptions horizontalCentered="1"/>
  <pageMargins left="0.59055118110236204" right="0.59055118110236204" top="0.78740157480314998" bottom="0.78740157480314998" header="0.511811023622047" footer="0.511811023622047"/>
  <pageSetup paperSize="9" scale="52" orientation="portrait" r:id="rId5"/>
  <headerFooter alignWithMargins="0">
    <oddFooter>&amp;Cwww.excely.com (c) 2013</oddFooter>
  </headerFooter>
  <ignoredErrors>
    <ignoredError sqref="E80 H81" formula="1"/>
  </ignoredErrors>
  <drawing r:id="rId6"/>
  <pictur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F106"/>
  <sheetViews>
    <sheetView showGridLines="0" zoomScaleNormal="100" zoomScaleSheetLayoutView="130" zoomScalePageLayoutView="25" workbookViewId="0">
      <selection sqref="A1:R1"/>
    </sheetView>
  </sheetViews>
  <sheetFormatPr defaultRowHeight="12.75" x14ac:dyDescent="0.2"/>
  <cols>
    <col min="1" max="1" width="4.42578125" style="1" customWidth="1"/>
    <col min="2" max="2" width="5.42578125" style="1" customWidth="1"/>
    <col min="3" max="3" width="11.7109375" style="1" bestFit="1" customWidth="1"/>
    <col min="4" max="4" width="7.28515625" style="3" customWidth="1"/>
    <col min="5" max="5" width="22.5703125" style="4" customWidth="1"/>
    <col min="6" max="7" width="5.28515625" style="5" customWidth="1"/>
    <col min="8" max="8" width="22.5703125" style="6" customWidth="1"/>
    <col min="9" max="10" width="4.28515625" style="4" customWidth="1"/>
    <col min="11" max="11" width="3.42578125" style="2" customWidth="1"/>
    <col min="12" max="12" width="15" style="24" customWidth="1"/>
    <col min="13" max="16" width="5.42578125" style="25" customWidth="1"/>
    <col min="17" max="17" width="7.7109375" style="25" customWidth="1"/>
    <col min="18" max="18" width="6.7109375" style="25" customWidth="1"/>
    <col min="19" max="19" width="3.42578125" style="44" customWidth="1"/>
    <col min="20" max="20" width="15.42578125" style="64" hidden="1" customWidth="1"/>
    <col min="21" max="22" width="16" style="70" hidden="1" customWidth="1"/>
    <col min="23" max="23" width="5" style="65" hidden="1" customWidth="1"/>
    <col min="24" max="25" width="6.140625" style="64" hidden="1" customWidth="1"/>
    <col min="26" max="26" width="4.28515625" style="65" hidden="1" customWidth="1"/>
    <col min="27" max="27" width="5.42578125" style="64" hidden="1" customWidth="1"/>
    <col min="28" max="28" width="13.42578125" style="65" hidden="1" customWidth="1"/>
    <col min="29" max="33" width="5.42578125" style="64" hidden="1" customWidth="1"/>
    <col min="34" max="36" width="6" style="64" hidden="1" customWidth="1"/>
    <col min="37" max="37" width="5.42578125" style="64" hidden="1" customWidth="1"/>
    <col min="38" max="38" width="6" style="64" hidden="1" customWidth="1"/>
    <col min="39" max="39" width="7.140625" style="65" hidden="1" customWidth="1"/>
    <col min="40" max="40" width="10" style="65" hidden="1" customWidth="1"/>
    <col min="41" max="41" width="15.28515625" style="66" hidden="1" customWidth="1"/>
    <col min="42" max="42" width="4.7109375" style="67" hidden="1" customWidth="1"/>
    <col min="43" max="46" width="4.7109375" style="68" hidden="1" customWidth="1"/>
    <col min="47" max="49" width="9.140625" style="69" hidden="1" customWidth="1"/>
    <col min="50" max="50" width="0" style="83" hidden="1" customWidth="1"/>
    <col min="51" max="53" width="0" style="2" hidden="1" customWidth="1"/>
    <col min="54" max="70" width="3.140625" style="2" hidden="1" customWidth="1"/>
    <col min="71" max="88" width="0" style="2" hidden="1" customWidth="1"/>
    <col min="89" max="16384" width="9.140625" style="2"/>
  </cols>
  <sheetData>
    <row r="1" spans="1:70" ht="46.5" x14ac:dyDescent="0.2">
      <c r="A1" s="336" t="s">
        <v>2811</v>
      </c>
      <c r="B1" s="336"/>
      <c r="C1" s="336"/>
      <c r="D1" s="336"/>
      <c r="E1" s="336"/>
      <c r="F1" s="336"/>
      <c r="G1" s="336"/>
      <c r="H1" s="336"/>
      <c r="I1" s="336"/>
      <c r="J1" s="336"/>
      <c r="K1" s="336"/>
      <c r="L1" s="336"/>
      <c r="M1" s="336"/>
      <c r="N1" s="336"/>
      <c r="O1" s="336"/>
      <c r="P1" s="336"/>
      <c r="Q1" s="336"/>
      <c r="R1" s="336"/>
      <c r="U1" s="64"/>
      <c r="V1" s="64"/>
      <c r="W1" s="64"/>
      <c r="Z1" s="64"/>
      <c r="AB1" s="64"/>
      <c r="AD1" s="65"/>
      <c r="AE1" s="65"/>
      <c r="AF1" s="66"/>
      <c r="AG1" s="67"/>
      <c r="AH1" s="68"/>
      <c r="AI1" s="68"/>
      <c r="AJ1" s="68"/>
      <c r="AK1" s="68"/>
      <c r="AL1" s="69"/>
      <c r="AM1" s="69"/>
      <c r="AN1" s="69"/>
      <c r="AO1" s="69"/>
      <c r="AP1" s="69"/>
      <c r="AQ1" s="69"/>
      <c r="AR1" s="69"/>
      <c r="AS1" s="69"/>
      <c r="AT1" s="69"/>
    </row>
    <row r="2" spans="1:70" s="69" customFormat="1" ht="66.75" customHeight="1" x14ac:dyDescent="0.2">
      <c r="A2" s="355" t="s">
        <v>2757</v>
      </c>
      <c r="B2" s="356"/>
      <c r="C2" s="357"/>
      <c r="D2" s="358" t="s">
        <v>2812</v>
      </c>
      <c r="E2" s="359"/>
      <c r="F2" s="359"/>
      <c r="G2" s="359"/>
      <c r="H2" s="359"/>
      <c r="I2" s="359"/>
      <c r="J2" s="359"/>
      <c r="K2" s="359"/>
      <c r="L2" s="359"/>
      <c r="M2" s="359"/>
      <c r="N2" s="359"/>
      <c r="O2" s="359"/>
      <c r="P2" s="359"/>
      <c r="Q2" s="359"/>
      <c r="R2" s="360"/>
      <c r="S2" s="44"/>
      <c r="T2" s="64"/>
      <c r="U2" s="64"/>
      <c r="V2" s="64"/>
      <c r="W2" s="64"/>
      <c r="X2" s="64"/>
      <c r="Y2" s="64"/>
      <c r="Z2" s="64"/>
      <c r="AA2" s="64"/>
      <c r="AB2" s="64"/>
      <c r="AC2" s="64"/>
      <c r="AD2" s="65"/>
      <c r="AE2" s="65"/>
      <c r="AF2" s="66"/>
      <c r="AG2" s="67"/>
      <c r="AH2" s="68"/>
      <c r="AI2" s="68"/>
      <c r="AJ2" s="68"/>
      <c r="AK2" s="68"/>
      <c r="AX2" s="83"/>
      <c r="AY2" s="2"/>
      <c r="AZ2" s="2"/>
      <c r="BA2" s="2"/>
      <c r="BB2" s="2"/>
      <c r="BC2" s="2"/>
      <c r="BD2" s="2"/>
      <c r="BE2" s="2"/>
      <c r="BF2" s="2"/>
      <c r="BG2" s="2"/>
      <c r="BH2" s="2"/>
      <c r="BI2" s="2"/>
      <c r="BJ2" s="2"/>
      <c r="BK2" s="2"/>
      <c r="BL2" s="2"/>
      <c r="BM2" s="2"/>
      <c r="BN2" s="2"/>
      <c r="BO2" s="2"/>
      <c r="BP2" s="2"/>
      <c r="BQ2" s="2"/>
      <c r="BR2" s="2"/>
    </row>
    <row r="3" spans="1:70" s="69" customFormat="1" ht="6.75" customHeight="1" x14ac:dyDescent="0.2">
      <c r="A3" s="1"/>
      <c r="B3" s="1"/>
      <c r="C3" s="1"/>
      <c r="D3" s="3"/>
      <c r="E3" s="4"/>
      <c r="F3" s="5"/>
      <c r="G3" s="5"/>
      <c r="H3" s="6"/>
      <c r="I3" s="4"/>
      <c r="J3" s="4"/>
      <c r="K3" s="2"/>
      <c r="L3" s="24"/>
      <c r="M3" s="25"/>
      <c r="N3" s="25"/>
      <c r="O3" s="25"/>
      <c r="P3" s="25"/>
      <c r="Q3" s="25"/>
      <c r="R3" s="25"/>
      <c r="S3" s="44"/>
      <c r="T3" s="64"/>
      <c r="U3" s="64"/>
      <c r="V3" s="64"/>
      <c r="W3" s="64"/>
      <c r="X3" s="64"/>
      <c r="Y3" s="64"/>
      <c r="Z3" s="64"/>
      <c r="AA3" s="64"/>
      <c r="AB3" s="64"/>
      <c r="AC3" s="64"/>
      <c r="AD3" s="65"/>
      <c r="AE3" s="65"/>
      <c r="AF3" s="66"/>
      <c r="AG3" s="67"/>
      <c r="AH3" s="68"/>
      <c r="AI3" s="68"/>
      <c r="AJ3" s="68"/>
      <c r="AK3" s="68"/>
      <c r="AX3" s="83"/>
      <c r="AY3" s="2"/>
      <c r="AZ3" s="2"/>
      <c r="BA3" s="2"/>
      <c r="BB3" s="2"/>
      <c r="BC3" s="2"/>
      <c r="BD3" s="2"/>
      <c r="BE3" s="2"/>
      <c r="BF3" s="2"/>
      <c r="BG3" s="2"/>
      <c r="BH3" s="2"/>
      <c r="BI3" s="2"/>
      <c r="BJ3" s="2"/>
      <c r="BK3" s="2"/>
      <c r="BL3" s="2"/>
      <c r="BM3" s="2"/>
      <c r="BN3" s="2"/>
      <c r="BO3" s="2"/>
      <c r="BP3" s="2"/>
      <c r="BQ3" s="2"/>
      <c r="BR3" s="2"/>
    </row>
    <row r="4" spans="1:70" s="69" customFormat="1" ht="49.5" hidden="1" customHeight="1" x14ac:dyDescent="0.2">
      <c r="A4" s="81"/>
      <c r="B4" s="81"/>
      <c r="C4" s="196" t="s">
        <v>2746</v>
      </c>
      <c r="D4" s="196"/>
      <c r="E4" s="196"/>
      <c r="F4" s="196"/>
      <c r="G4" s="81"/>
      <c r="H4" s="258" t="s">
        <v>2746</v>
      </c>
      <c r="I4" s="258"/>
      <c r="J4" s="258"/>
      <c r="K4" s="81"/>
      <c r="L4" s="363" t="s">
        <v>2746</v>
      </c>
      <c r="M4" s="363"/>
      <c r="N4" s="363"/>
      <c r="O4" s="363"/>
      <c r="P4" s="363"/>
      <c r="Q4" s="363"/>
      <c r="R4" s="363"/>
      <c r="S4" s="44"/>
      <c r="T4" s="64"/>
      <c r="U4" s="64"/>
      <c r="V4" s="64"/>
      <c r="W4" s="64"/>
      <c r="X4" s="64"/>
      <c r="Y4" s="64"/>
      <c r="Z4" s="64"/>
      <c r="AA4" s="64"/>
      <c r="AB4" s="64"/>
      <c r="AC4" s="64"/>
      <c r="AD4" s="65"/>
      <c r="AE4" s="65"/>
      <c r="AF4" s="66"/>
      <c r="AG4" s="67"/>
      <c r="AH4" s="68"/>
      <c r="AI4" s="68"/>
      <c r="AJ4" s="68"/>
      <c r="AK4" s="68"/>
      <c r="AX4" s="83"/>
      <c r="AY4" s="2"/>
      <c r="AZ4" s="2"/>
      <c r="BA4" s="2"/>
      <c r="BB4" s="2"/>
      <c r="BC4" s="2"/>
      <c r="BD4" s="2"/>
      <c r="BE4" s="2"/>
      <c r="BF4" s="2"/>
      <c r="BG4" s="2"/>
      <c r="BH4" s="2"/>
      <c r="BI4" s="2"/>
      <c r="BJ4" s="2"/>
      <c r="BK4" s="2"/>
      <c r="BL4" s="2"/>
      <c r="BM4" s="2"/>
      <c r="BN4" s="2"/>
      <c r="BO4" s="2"/>
      <c r="BP4" s="2"/>
      <c r="BQ4" s="2"/>
      <c r="BR4" s="2"/>
    </row>
    <row r="5" spans="1:70" s="69" customFormat="1" ht="6.75" customHeight="1" x14ac:dyDescent="0.2">
      <c r="A5" s="1"/>
      <c r="B5" s="1"/>
      <c r="C5" s="1"/>
      <c r="D5" s="3"/>
      <c r="E5" s="4"/>
      <c r="F5" s="5"/>
      <c r="G5" s="5"/>
      <c r="H5" s="6"/>
      <c r="I5" s="4"/>
      <c r="J5" s="4"/>
      <c r="K5" s="2"/>
      <c r="L5" s="24"/>
      <c r="M5" s="25"/>
      <c r="N5" s="25"/>
      <c r="O5" s="25"/>
      <c r="P5" s="25"/>
      <c r="Q5" s="25"/>
      <c r="R5" s="25"/>
      <c r="S5" s="44"/>
      <c r="T5" s="64"/>
      <c r="U5" s="70"/>
      <c r="V5" s="70"/>
      <c r="W5" s="65"/>
      <c r="X5" s="64"/>
      <c r="Y5" s="64"/>
      <c r="Z5" s="65"/>
      <c r="AA5" s="64"/>
      <c r="AB5" s="65"/>
      <c r="AC5" s="64"/>
      <c r="AD5" s="64"/>
      <c r="AE5" s="64"/>
      <c r="AF5" s="64"/>
      <c r="AG5" s="64"/>
      <c r="AH5" s="64"/>
      <c r="AI5" s="64"/>
      <c r="AJ5" s="64"/>
      <c r="AK5" s="64"/>
      <c r="AL5" s="64"/>
      <c r="AM5" s="65"/>
      <c r="AN5" s="65"/>
      <c r="AO5" s="66"/>
      <c r="AP5" s="67"/>
      <c r="AQ5" s="68"/>
      <c r="AR5" s="68"/>
      <c r="AS5" s="68"/>
      <c r="AT5" s="68"/>
      <c r="AX5" s="83"/>
      <c r="AY5" s="2"/>
      <c r="AZ5" s="2"/>
      <c r="BA5" s="2"/>
      <c r="BB5" s="2"/>
      <c r="BC5" s="2"/>
      <c r="BD5" s="2"/>
      <c r="BE5" s="2"/>
      <c r="BF5" s="2"/>
      <c r="BG5" s="2"/>
      <c r="BH5" s="2"/>
      <c r="BI5" s="2"/>
      <c r="BJ5" s="2"/>
      <c r="BK5" s="2"/>
      <c r="BL5" s="2"/>
      <c r="BM5" s="2"/>
      <c r="BN5" s="2"/>
      <c r="BO5" s="2"/>
      <c r="BP5" s="2"/>
      <c r="BQ5" s="2"/>
      <c r="BR5" s="2"/>
    </row>
    <row r="6" spans="1:70" s="69" customFormat="1" ht="30" customHeight="1" x14ac:dyDescent="0.2">
      <c r="A6" s="361" t="s">
        <v>2813</v>
      </c>
      <c r="B6" s="362"/>
      <c r="C6" s="362"/>
      <c r="D6" s="362"/>
      <c r="E6" s="362"/>
      <c r="F6" s="362"/>
      <c r="G6" s="362"/>
      <c r="H6" s="362"/>
      <c r="I6" s="362"/>
      <c r="J6" s="362"/>
      <c r="K6" s="362"/>
      <c r="L6" s="362"/>
      <c r="M6" s="362"/>
      <c r="N6" s="362"/>
      <c r="O6" s="362"/>
      <c r="P6" s="362"/>
      <c r="Q6" s="362"/>
      <c r="R6" s="362"/>
      <c r="S6" s="44"/>
      <c r="T6" s="64"/>
      <c r="U6" s="70"/>
      <c r="V6" s="70"/>
      <c r="W6" s="65"/>
      <c r="X6" s="64"/>
      <c r="Y6" s="64"/>
      <c r="Z6" s="65"/>
      <c r="AA6" s="64"/>
      <c r="AB6" s="65"/>
      <c r="AC6" s="64"/>
      <c r="AD6" s="64"/>
      <c r="AE6" s="64"/>
      <c r="AF6" s="64"/>
      <c r="AG6" s="64"/>
      <c r="AH6" s="64"/>
      <c r="AI6" s="64"/>
      <c r="AJ6" s="64"/>
      <c r="AK6" s="64"/>
      <c r="AL6" s="64"/>
      <c r="AM6" s="65"/>
      <c r="AN6" s="65"/>
      <c r="AO6" s="66"/>
      <c r="AP6" s="67"/>
      <c r="AQ6" s="68"/>
      <c r="AR6" s="68"/>
      <c r="AS6" s="68"/>
      <c r="AT6" s="68"/>
      <c r="AX6" s="83"/>
      <c r="AY6" s="2"/>
      <c r="AZ6" s="2"/>
      <c r="BA6" s="2"/>
      <c r="BB6" s="2"/>
      <c r="BC6" s="2"/>
      <c r="BD6" s="2"/>
      <c r="BE6" s="2"/>
      <c r="BF6" s="2"/>
      <c r="BG6" s="2"/>
      <c r="BH6" s="2"/>
      <c r="BI6" s="2"/>
      <c r="BJ6" s="2"/>
      <c r="BK6" s="2"/>
      <c r="BL6" s="2"/>
      <c r="BM6" s="2"/>
      <c r="BN6" s="2"/>
      <c r="BO6" s="2"/>
      <c r="BP6" s="2"/>
      <c r="BQ6" s="2"/>
      <c r="BR6" s="2"/>
    </row>
    <row r="7" spans="1:70" s="69" customFormat="1" ht="9" customHeight="1" x14ac:dyDescent="0.2">
      <c r="A7" s="1"/>
      <c r="B7" s="138"/>
      <c r="C7" s="138"/>
      <c r="D7" s="138"/>
      <c r="E7" s="138"/>
      <c r="F7" s="138"/>
      <c r="G7" s="138"/>
      <c r="H7" s="138"/>
      <c r="I7" s="138"/>
      <c r="J7" s="138"/>
      <c r="K7" s="138"/>
      <c r="L7" s="138"/>
      <c r="M7" s="138"/>
      <c r="N7" s="138"/>
      <c r="O7" s="138"/>
      <c r="P7" s="138"/>
      <c r="Q7" s="138"/>
      <c r="R7" s="138"/>
      <c r="S7" s="44"/>
      <c r="T7" s="64"/>
      <c r="U7" s="70"/>
      <c r="V7" s="70"/>
      <c r="W7" s="65"/>
      <c r="X7" s="64"/>
      <c r="Y7" s="64"/>
      <c r="Z7" s="65"/>
      <c r="AA7" s="64"/>
      <c r="AB7" s="65"/>
      <c r="AC7" s="64"/>
      <c r="AD7" s="64"/>
      <c r="AE7" s="64"/>
      <c r="AF7" s="64"/>
      <c r="AG7" s="64"/>
      <c r="AH7" s="64"/>
      <c r="AI7" s="64"/>
      <c r="AJ7" s="64"/>
      <c r="AK7" s="64"/>
      <c r="AL7" s="64"/>
      <c r="AM7" s="65"/>
      <c r="AN7" s="65"/>
      <c r="AO7" s="66"/>
      <c r="AP7" s="67"/>
      <c r="AQ7" s="68"/>
      <c r="AR7" s="68"/>
      <c r="AS7" s="68"/>
      <c r="AT7" s="68"/>
      <c r="AX7" s="83"/>
      <c r="AY7" s="2"/>
      <c r="AZ7" s="2"/>
      <c r="BA7" s="2"/>
      <c r="BB7" s="2"/>
      <c r="BC7" s="2"/>
      <c r="BD7" s="2"/>
      <c r="BE7" s="2"/>
      <c r="BF7" s="2"/>
      <c r="BG7" s="2"/>
      <c r="BH7" s="2"/>
      <c r="BI7" s="2"/>
      <c r="BJ7" s="2"/>
      <c r="BK7" s="2"/>
      <c r="BL7" s="2"/>
      <c r="BM7" s="2"/>
      <c r="BN7" s="2"/>
      <c r="BO7" s="2"/>
      <c r="BP7" s="2"/>
      <c r="BQ7" s="2"/>
      <c r="BR7" s="2"/>
    </row>
    <row r="8" spans="1:70" s="69" customFormat="1" ht="30" customHeight="1" x14ac:dyDescent="0.2">
      <c r="A8" s="352" t="s">
        <v>2756</v>
      </c>
      <c r="B8" s="353"/>
      <c r="C8" s="140">
        <f>SUM(I12:J59)+(L67+L68+L69+L70+L71+L72+L73+L74+L78+L79+L80+L81+L85+L86+L90+L94+H103+H105)</f>
        <v>361</v>
      </c>
      <c r="D8" s="139"/>
      <c r="E8" s="141" t="s">
        <v>2754</v>
      </c>
      <c r="F8" s="354">
        <f>BP61</f>
        <v>48</v>
      </c>
      <c r="G8" s="354"/>
      <c r="H8" s="141" t="s">
        <v>2796</v>
      </c>
      <c r="I8" s="354">
        <f>BR61</f>
        <v>0</v>
      </c>
      <c r="J8" s="354"/>
      <c r="K8" s="2"/>
      <c r="L8" s="142" t="s">
        <v>2753</v>
      </c>
      <c r="M8" s="143">
        <f>BO61</f>
        <v>48</v>
      </c>
      <c r="N8" s="137"/>
      <c r="O8" s="351" t="s">
        <v>2755</v>
      </c>
      <c r="P8" s="351"/>
      <c r="Q8" s="351"/>
      <c r="R8" s="143">
        <f>BQ61</f>
        <v>48</v>
      </c>
      <c r="S8" s="44"/>
      <c r="T8" s="64"/>
      <c r="U8" s="70"/>
      <c r="V8" s="70"/>
      <c r="W8" s="65"/>
      <c r="X8" s="64"/>
      <c r="Y8" s="64"/>
      <c r="Z8" s="65"/>
      <c r="AA8" s="64"/>
      <c r="AB8" s="65"/>
      <c r="AC8" s="64"/>
      <c r="AD8" s="64"/>
      <c r="AE8" s="64"/>
      <c r="AF8" s="64"/>
      <c r="AG8" s="64"/>
      <c r="AH8" s="64"/>
      <c r="AI8" s="64"/>
      <c r="AJ8" s="64"/>
      <c r="AK8" s="64"/>
      <c r="AL8" s="64"/>
      <c r="AM8" s="65"/>
      <c r="AN8" s="65"/>
      <c r="AO8" s="66"/>
      <c r="AP8" s="67"/>
      <c r="AQ8" s="68"/>
      <c r="AR8" s="68"/>
      <c r="AS8" s="68"/>
      <c r="AT8" s="68"/>
      <c r="AX8" s="83"/>
      <c r="AY8" s="2"/>
      <c r="AZ8" s="2"/>
      <c r="BA8" s="2"/>
      <c r="BB8" s="2"/>
      <c r="BC8" s="2"/>
      <c r="BD8" s="2"/>
      <c r="BE8" s="2"/>
      <c r="BF8" s="2"/>
      <c r="BG8" s="2"/>
      <c r="BH8" s="2"/>
      <c r="BI8" s="2"/>
      <c r="BJ8" s="2"/>
      <c r="BK8" s="2"/>
      <c r="BL8" s="2"/>
      <c r="BM8" s="2"/>
      <c r="BN8" s="2"/>
      <c r="BO8" s="2"/>
      <c r="BP8" s="2"/>
      <c r="BQ8" s="2"/>
      <c r="BR8" s="2"/>
    </row>
    <row r="9" spans="1:70" s="69" customFormat="1" ht="6.75" customHeight="1" x14ac:dyDescent="0.2">
      <c r="A9" s="1"/>
      <c r="B9" s="1"/>
      <c r="C9" s="1"/>
      <c r="D9" s="3"/>
      <c r="E9" s="4"/>
      <c r="F9" s="5"/>
      <c r="G9" s="5"/>
      <c r="H9" s="6"/>
      <c r="I9" s="4"/>
      <c r="J9" s="4"/>
      <c r="K9" s="2"/>
      <c r="L9" s="24"/>
      <c r="M9" s="25"/>
      <c r="N9" s="25"/>
      <c r="O9" s="25"/>
      <c r="P9" s="25"/>
      <c r="Q9" s="25"/>
      <c r="R9" s="25"/>
      <c r="S9" s="44"/>
      <c r="T9" s="64"/>
      <c r="U9" s="70"/>
      <c r="V9" s="70"/>
      <c r="W9" s="65"/>
      <c r="X9" s="64"/>
      <c r="Y9" s="64"/>
      <c r="Z9" s="65"/>
      <c r="AA9" s="64"/>
      <c r="AB9" s="65"/>
      <c r="AC9" s="64"/>
      <c r="AD9" s="64"/>
      <c r="AE9" s="64"/>
      <c r="AF9" s="64"/>
      <c r="AG9" s="64"/>
      <c r="AH9" s="64"/>
      <c r="AI9" s="64"/>
      <c r="AJ9" s="64"/>
      <c r="AK9" s="64"/>
      <c r="AL9" s="64"/>
      <c r="AM9" s="65"/>
      <c r="AN9" s="65"/>
      <c r="AO9" s="66"/>
      <c r="AP9" s="67"/>
      <c r="AQ9" s="68"/>
      <c r="AR9" s="68"/>
      <c r="AS9" s="68"/>
      <c r="AT9" s="68"/>
      <c r="AX9" s="83"/>
      <c r="AY9" s="2"/>
      <c r="AZ9" s="2"/>
      <c r="BA9" s="2"/>
      <c r="BB9" s="2"/>
      <c r="BC9" s="2"/>
      <c r="BD9" s="2"/>
      <c r="BE9" s="2"/>
      <c r="BF9" s="2"/>
      <c r="BG9" s="2"/>
      <c r="BH9" s="2"/>
      <c r="BI9" s="2"/>
      <c r="BJ9" s="2"/>
      <c r="BK9" s="2"/>
      <c r="BL9" s="2"/>
      <c r="BM9" s="2"/>
      <c r="BN9" s="2"/>
      <c r="BO9" s="2"/>
      <c r="BP9" s="2"/>
      <c r="BQ9" s="2"/>
      <c r="BR9" s="2"/>
    </row>
    <row r="10" spans="1:70" s="69" customFormat="1" ht="12.75" customHeight="1" x14ac:dyDescent="0.2">
      <c r="A10" s="343" t="str">
        <f>INDEX(T,3,lang)</f>
        <v>Гуруҳ босқичи</v>
      </c>
      <c r="B10" s="344"/>
      <c r="C10" s="344"/>
      <c r="D10" s="344"/>
      <c r="E10" s="344"/>
      <c r="F10" s="344"/>
      <c r="G10" s="344"/>
      <c r="H10" s="344"/>
      <c r="I10" s="347" t="s">
        <v>2751</v>
      </c>
      <c r="J10" s="348"/>
      <c r="K10" s="2"/>
      <c r="L10" s="337" t="s">
        <v>2815</v>
      </c>
      <c r="M10" s="338"/>
      <c r="N10" s="338"/>
      <c r="O10" s="338"/>
      <c r="P10" s="338"/>
      <c r="Q10" s="338"/>
      <c r="R10" s="339"/>
      <c r="S10" s="44"/>
      <c r="T10" s="64"/>
      <c r="U10" s="70"/>
      <c r="V10" s="70"/>
      <c r="W10" s="65"/>
      <c r="X10" s="64"/>
      <c r="Y10" s="64"/>
      <c r="Z10" s="65"/>
      <c r="AA10" s="64"/>
      <c r="AB10" s="65"/>
      <c r="AC10" s="64"/>
      <c r="AD10" s="64"/>
      <c r="AE10" s="64"/>
      <c r="AF10" s="64"/>
      <c r="AG10" s="64"/>
      <c r="AH10" s="64"/>
      <c r="AI10" s="64"/>
      <c r="AJ10" s="64"/>
      <c r="AK10" s="64"/>
      <c r="AL10" s="64"/>
      <c r="AM10" s="65"/>
      <c r="AN10" s="65"/>
      <c r="AO10" s="66"/>
      <c r="AP10" s="67"/>
      <c r="AQ10" s="68"/>
      <c r="AR10" s="68"/>
      <c r="AS10" s="68"/>
      <c r="AT10" s="68"/>
      <c r="AX10" s="83"/>
      <c r="AY10" s="2"/>
      <c r="AZ10" s="2"/>
      <c r="BA10" s="2"/>
      <c r="BB10" s="135" t="s">
        <v>2752</v>
      </c>
      <c r="BC10" s="2"/>
      <c r="BD10" s="2"/>
      <c r="BE10" s="2"/>
      <c r="BF10" s="2"/>
      <c r="BG10" s="2"/>
      <c r="BH10" s="2"/>
      <c r="BI10" s="2"/>
      <c r="BJ10" s="2"/>
      <c r="BK10" s="2"/>
      <c r="BL10" s="2"/>
      <c r="BM10" s="2"/>
      <c r="BN10" s="2"/>
      <c r="BO10" s="2"/>
      <c r="BP10" s="2"/>
      <c r="BQ10" s="2"/>
      <c r="BR10" s="2"/>
    </row>
    <row r="11" spans="1:70" s="69" customFormat="1" ht="12.75" customHeight="1" x14ac:dyDescent="0.2">
      <c r="A11" s="345"/>
      <c r="B11" s="346"/>
      <c r="C11" s="346"/>
      <c r="D11" s="346"/>
      <c r="E11" s="346"/>
      <c r="F11" s="346"/>
      <c r="G11" s="346"/>
      <c r="H11" s="346"/>
      <c r="I11" s="349"/>
      <c r="J11" s="350"/>
      <c r="K11" s="2"/>
      <c r="L11" s="340"/>
      <c r="M11" s="341"/>
      <c r="N11" s="341"/>
      <c r="O11" s="341"/>
      <c r="P11" s="341"/>
      <c r="Q11" s="341"/>
      <c r="R11" s="342"/>
      <c r="S11" s="44"/>
      <c r="T11" s="64" t="s">
        <v>834</v>
      </c>
      <c r="U11" s="70"/>
      <c r="V11" s="70"/>
      <c r="W11" s="65"/>
      <c r="X11" s="64" t="s">
        <v>803</v>
      </c>
      <c r="Y11" s="64" t="s">
        <v>804</v>
      </c>
      <c r="Z11" s="65"/>
      <c r="AA11" s="64" t="s">
        <v>802</v>
      </c>
      <c r="AB11" s="64" t="s">
        <v>801</v>
      </c>
      <c r="AC11" s="64" t="s">
        <v>796</v>
      </c>
      <c r="AD11" s="64" t="s">
        <v>797</v>
      </c>
      <c r="AE11" s="64" t="s">
        <v>798</v>
      </c>
      <c r="AF11" s="64" t="s">
        <v>803</v>
      </c>
      <c r="AG11" s="64" t="s">
        <v>804</v>
      </c>
      <c r="AH11" s="64" t="s">
        <v>968</v>
      </c>
      <c r="AI11" s="64" t="s">
        <v>968</v>
      </c>
      <c r="AJ11" s="64"/>
      <c r="AK11" s="64" t="s">
        <v>799</v>
      </c>
      <c r="AL11" s="64" t="s">
        <v>967</v>
      </c>
      <c r="AM11" s="64" t="s">
        <v>568</v>
      </c>
      <c r="AN11" s="64" t="s">
        <v>800</v>
      </c>
      <c r="AO11" s="66"/>
      <c r="AP11" s="67" t="s">
        <v>796</v>
      </c>
      <c r="AQ11" s="68" t="s">
        <v>797</v>
      </c>
      <c r="AR11" s="68" t="s">
        <v>803</v>
      </c>
      <c r="AS11" s="68" t="s">
        <v>804</v>
      </c>
      <c r="AT11" s="68" t="s">
        <v>567</v>
      </c>
      <c r="AX11" s="83"/>
      <c r="AY11" s="2"/>
      <c r="AZ11" s="2"/>
      <c r="BA11" s="2"/>
      <c r="BB11" s="2">
        <v>1</v>
      </c>
      <c r="BC11" s="2">
        <v>2</v>
      </c>
      <c r="BD11" s="2">
        <v>3</v>
      </c>
      <c r="BE11" s="2">
        <v>4</v>
      </c>
      <c r="BF11" s="2">
        <v>5</v>
      </c>
      <c r="BG11" s="2">
        <v>6</v>
      </c>
      <c r="BH11" s="2">
        <v>7</v>
      </c>
      <c r="BI11" s="2">
        <v>8</v>
      </c>
      <c r="BJ11" s="2">
        <v>9</v>
      </c>
      <c r="BK11" s="2">
        <v>10</v>
      </c>
      <c r="BL11" s="2">
        <v>11</v>
      </c>
      <c r="BM11" s="2">
        <v>12</v>
      </c>
      <c r="BN11" s="2">
        <v>13</v>
      </c>
      <c r="BO11" s="2">
        <v>14</v>
      </c>
      <c r="BP11" s="2">
        <v>15</v>
      </c>
      <c r="BQ11" s="2">
        <v>16</v>
      </c>
      <c r="BR11" s="2">
        <v>17</v>
      </c>
    </row>
    <row r="12" spans="1:70" s="69" customFormat="1" x14ac:dyDescent="0.2">
      <c r="A12" s="84">
        <v>1</v>
      </c>
      <c r="B12" s="85" t="str">
        <f t="shared" ref="B12:B59" si="0">INDEX(T,18+INT(MOD(T12-1,7)),lang)</f>
        <v>Жума</v>
      </c>
      <c r="C12" s="86" t="str">
        <f t="shared" ref="C12:C59" si="1">INDEX(T,24+MONTH(T12),lang) &amp; " " &amp; DAY(T12) &amp; ", " &amp; YEAR(T12)</f>
        <v>Июнь 13, 2014</v>
      </c>
      <c r="D12" s="87">
        <f>TIME(HOUR(T12),MINUTE(T12),0)</f>
        <v>4.1666666666666664E-2</v>
      </c>
      <c r="E12" s="88" t="str">
        <f>AB13</f>
        <v>Бразилия</v>
      </c>
      <c r="F12" s="58"/>
      <c r="G12" s="59"/>
      <c r="H12" s="99" t="str">
        <f>AB14</f>
        <v>Хорватия</v>
      </c>
      <c r="I12" s="310">
        <f>BO12+BP12+BQ12+BR12</f>
        <v>3</v>
      </c>
      <c r="J12" s="311"/>
      <c r="K12" s="2"/>
      <c r="L12" s="24"/>
      <c r="M12" s="25"/>
      <c r="N12" s="25"/>
      <c r="O12" s="25"/>
      <c r="P12" s="25"/>
      <c r="Q12" s="25"/>
      <c r="R12" s="25"/>
      <c r="S12" s="44"/>
      <c r="T12" s="64">
        <f>DATE(2014,6,12)+TIME(9,0,0)+gmt_delta</f>
        <v>41803.041666666664</v>
      </c>
      <c r="U12" s="70" t="str">
        <f t="shared" ref="U12:U59" si="2">IF(OR(F12="",G12=""),"",IF(F12&gt;G12,E12&amp;"_win",IF(F12&lt;G12,E12&amp;"_lose",E12&amp;"_draw")))</f>
        <v/>
      </c>
      <c r="V12" s="70" t="str">
        <f t="shared" ref="V12:V59" si="3">IF(U12="","",IF(F12&lt;G12,H12&amp;"_win",IF(F12&gt;G12,H12&amp;"_lose",H12&amp;"_draw")))</f>
        <v/>
      </c>
      <c r="W12" s="65">
        <f t="shared" ref="W12:W59" si="4">IF(U12="",0,IF(VLOOKUP(E12,$AB$13:$AK$58,7,FALSE)=VLOOKUP(H12,$AB$13:$AK$58,7,FALSE),1,0))</f>
        <v>0</v>
      </c>
      <c r="X12" s="64">
        <f t="shared" ref="X12:X59" si="5">W12*F12</f>
        <v>0</v>
      </c>
      <c r="Y12" s="64">
        <f t="shared" ref="Y12:Y59" si="6">W12*G12</f>
        <v>0</v>
      </c>
      <c r="Z12" s="65"/>
      <c r="AA12" s="64"/>
      <c r="AB12" s="65"/>
      <c r="AC12" s="64"/>
      <c r="AD12" s="64"/>
      <c r="AE12" s="64"/>
      <c r="AF12" s="64"/>
      <c r="AG12" s="64"/>
      <c r="AH12" s="64"/>
      <c r="AI12" s="64"/>
      <c r="AJ12" s="64"/>
      <c r="AK12" s="64"/>
      <c r="AL12" s="64"/>
      <c r="AM12" s="65"/>
      <c r="AN12" s="65"/>
      <c r="AO12" s="66"/>
      <c r="AP12" s="67"/>
      <c r="AQ12" s="68"/>
      <c r="AR12" s="68"/>
      <c r="AS12" s="68"/>
      <c r="AT12" s="68"/>
      <c r="AX12" s="83"/>
      <c r="AY12" s="2"/>
      <c r="AZ12" s="2"/>
      <c r="BA12" s="2"/>
      <c r="BB12" s="133">
        <f>'Anketa-2014'!F13</f>
        <v>0</v>
      </c>
      <c r="BC12" s="133">
        <f>'Anketa-2014'!G13</f>
        <v>0</v>
      </c>
      <c r="BD12" s="133">
        <f>F12</f>
        <v>0</v>
      </c>
      <c r="BE12" s="133">
        <f>G12</f>
        <v>0</v>
      </c>
      <c r="BF12" s="133">
        <f t="shared" ref="BF12" si="7">IF(BD12=BE12,1,0)</f>
        <v>1</v>
      </c>
      <c r="BG12" s="133">
        <f t="shared" ref="BG12" si="8">IF(BB12=BC12,1,)</f>
        <v>1</v>
      </c>
      <c r="BH12" s="133">
        <f t="shared" ref="BH12" si="9">COUNTIF(BF12:BG12,"1")</f>
        <v>2</v>
      </c>
      <c r="BI12" s="133" t="str">
        <f t="shared" ref="BI12:BJ12" si="10">IF(BD12=BB12,"1","0")</f>
        <v>1</v>
      </c>
      <c r="BJ12" s="133" t="str">
        <f t="shared" si="10"/>
        <v>1</v>
      </c>
      <c r="BK12" s="133">
        <f t="shared" ref="BK12" si="11">BD12-BE12</f>
        <v>0</v>
      </c>
      <c r="BL12" s="133">
        <f t="shared" ref="BL12" si="12">BB12-BC12</f>
        <v>0</v>
      </c>
      <c r="BM12" s="133" t="str">
        <f t="shared" ref="BM12" si="13">IF((BK12*BL12)&gt;=0.1,"1","0")</f>
        <v>0</v>
      </c>
      <c r="BN12" s="133" t="str">
        <f t="shared" ref="BN12" si="14">IF((BK12*BL12)&gt;=0.1,"1","0")</f>
        <v>0</v>
      </c>
      <c r="BO12" s="133">
        <f t="shared" ref="BO12" si="15">COUNTIF(BH12,"2")</f>
        <v>1</v>
      </c>
      <c r="BP12" s="134" t="str">
        <f t="shared" ref="BP12" si="16">IF(BI12+BJ12=2,"1","0")</f>
        <v>1</v>
      </c>
      <c r="BQ12" s="134" t="str">
        <f t="shared" ref="BQ12" si="17">IF((BD12-BE12)=(BB12-BC12),"1","0")</f>
        <v>1</v>
      </c>
      <c r="BR12" s="134" t="str">
        <f t="shared" ref="BR12" si="18">IF((BM12+BN12)=2,"1","0")</f>
        <v>0</v>
      </c>
    </row>
    <row r="13" spans="1:70" s="69" customFormat="1" ht="12.75" customHeight="1" x14ac:dyDescent="0.2">
      <c r="A13" s="89">
        <v>2</v>
      </c>
      <c r="B13" s="90" t="str">
        <f t="shared" si="0"/>
        <v>Жума</v>
      </c>
      <c r="C13" s="91" t="str">
        <f t="shared" si="1"/>
        <v>Июнь 13, 2014</v>
      </c>
      <c r="D13" s="92">
        <f t="shared" ref="D13:D59" si="19">TIME(HOUR(T13),MINUTE(T13),0)</f>
        <v>0.875</v>
      </c>
      <c r="E13" s="93" t="str">
        <f>AB15</f>
        <v>Мексика</v>
      </c>
      <c r="F13" s="54"/>
      <c r="G13" s="55"/>
      <c r="H13" s="100" t="str">
        <f>AB16</f>
        <v>Камерун</v>
      </c>
      <c r="I13" s="310">
        <f t="shared" ref="I13:I59" si="20">BO13+BP13+BQ13+BR13</f>
        <v>3</v>
      </c>
      <c r="J13" s="311"/>
      <c r="K13" s="2"/>
      <c r="L13" s="52" t="str">
        <f>INDEX(T,9,lang) &amp; " " &amp; "A"</f>
        <v>Гуруҳ A</v>
      </c>
      <c r="M13" s="53" t="str">
        <f>INDEX(T,10,lang)</f>
        <v>Ў</v>
      </c>
      <c r="N13" s="53" t="str">
        <f>INDEX(T,11,lang)</f>
        <v>Ю</v>
      </c>
      <c r="O13" s="53" t="str">
        <f>INDEX(T,12,lang)</f>
        <v>Д</v>
      </c>
      <c r="P13" s="53" t="str">
        <f>INDEX(T,13,lang)</f>
        <v>М</v>
      </c>
      <c r="Q13" s="53" t="str">
        <f>INDEX(T,14,lang)</f>
        <v>Тўп. нисб.</v>
      </c>
      <c r="R13" s="53" t="str">
        <f>INDEX(T,15,lang)</f>
        <v>Очколар</v>
      </c>
      <c r="S13" s="44"/>
      <c r="T13" s="64">
        <f>DATE(2014,6,13)+TIME(5,0,0)+gmt_delta</f>
        <v>41803.875</v>
      </c>
      <c r="U13" s="70" t="str">
        <f t="shared" si="2"/>
        <v/>
      </c>
      <c r="V13" s="70" t="str">
        <f t="shared" si="3"/>
        <v/>
      </c>
      <c r="W13" s="65">
        <f t="shared" si="4"/>
        <v>0</v>
      </c>
      <c r="X13" s="64">
        <f t="shared" si="5"/>
        <v>0</v>
      </c>
      <c r="Y13" s="64">
        <f t="shared" si="6"/>
        <v>0</v>
      </c>
      <c r="Z13" s="65"/>
      <c r="AA13" s="64">
        <f>COUNTIF(AN13:AN16,CONCATENATE("&gt;=",AN13))</f>
        <v>1</v>
      </c>
      <c r="AB13" s="65" t="str">
        <f>INDEX(T,62,lang)</f>
        <v>Бразилия</v>
      </c>
      <c r="AC13" s="64">
        <f>COUNTIF($U$12:$V$59,"=" &amp; AB13 &amp; "_win")</f>
        <v>0</v>
      </c>
      <c r="AD13" s="64">
        <f>COUNTIF($U$12:$V$59,"=" &amp; AB13 &amp; "_draw")</f>
        <v>0</v>
      </c>
      <c r="AE13" s="64">
        <f>COUNTIF($U$12:$V$59,"=" &amp; AB13 &amp; "_lose")</f>
        <v>0</v>
      </c>
      <c r="AF13" s="64">
        <f>SUMIF($E$12:$E$59,$AB13,$F$12:$F$59) + SUMIF($H$12:$H$59,$AB13,$G$12:$G$59)</f>
        <v>0</v>
      </c>
      <c r="AG13" s="64">
        <f>SUMIF($E$12:$E$59,$AB13,$G$12:$G$59) + SUMIF($H$12:$H$59,$AB13,$F$12:$F$59)</f>
        <v>0</v>
      </c>
      <c r="AH13" s="64">
        <f>(AF13-AG13)+1</f>
        <v>1</v>
      </c>
      <c r="AI13" s="64">
        <f>AF13-AG13</f>
        <v>0</v>
      </c>
      <c r="AJ13" s="64">
        <f>(AI13-AI18)/AI17</f>
        <v>0</v>
      </c>
      <c r="AK13" s="64">
        <f>AC13*3+AD13</f>
        <v>0</v>
      </c>
      <c r="AL13" s="64">
        <f>AP13/AP17*1000+AQ13/AQ17*100+AT13/AT17*10+AR13/AR17</f>
        <v>0</v>
      </c>
      <c r="AM13" s="64">
        <f>VLOOKUP(AB13,db_fifarank,2,FALSE)/2000000</f>
        <v>6.0499999999999996E-4</v>
      </c>
      <c r="AN13" s="65">
        <f>1000*AK13/AK17+100*AJ13+10*AF13/AF17+1*AL13/AL17+AM13</f>
        <v>6.0499999999999996E-4</v>
      </c>
      <c r="AO13" s="66" t="str">
        <f>IF(SUM(AC13:AE16)=12,L14,INDEX(T,70,lang))</f>
        <v>1A</v>
      </c>
      <c r="AP13" s="67">
        <f>SUMPRODUCT(($U$12:$U$59=AB13&amp;"_win")*($W$12:$W$59))+SUMPRODUCT(($V$12:$V$59=AB13&amp;"_win")*($W$12:$W$59))</f>
        <v>0</v>
      </c>
      <c r="AQ13" s="68">
        <f>SUMPRODUCT(($U$12:$U$59=AB13&amp;"_draw")*($W$12:$W$59))+SUMPRODUCT(($V$12:$V$59=AB13&amp;"_draw")*($W$12:$W$59))</f>
        <v>0</v>
      </c>
      <c r="AR13" s="68">
        <f>SUMPRODUCT(($E$12:$E$59=AB13)*($W$12:$W$59)*($F$12:$F$59))+SUMPRODUCT(($H$12:$H$59=AB13)*($W$12:$W$59)*($G$12:$G$59))</f>
        <v>0</v>
      </c>
      <c r="AS13" s="68">
        <f>SUMPRODUCT(($E$12:$E$59=AB13)*($W$12:$W$59)*($G$12:$G$59))+SUMPRODUCT(($H$12:$H$59=AB13)*($W$12:$W$59)*($F$12:$F$59))</f>
        <v>0</v>
      </c>
      <c r="AT13" s="68">
        <f>AR13-AS13</f>
        <v>0</v>
      </c>
      <c r="AX13" s="83"/>
      <c r="AY13" s="2"/>
      <c r="AZ13" s="2"/>
      <c r="BA13" s="2"/>
      <c r="BB13" s="133">
        <f>'Anketa-2014'!F14</f>
        <v>0</v>
      </c>
      <c r="BC13" s="133">
        <f>'Anketa-2014'!G14</f>
        <v>0</v>
      </c>
      <c r="BD13" s="133">
        <f t="shared" ref="BD13:BD59" si="21">F13</f>
        <v>0</v>
      </c>
      <c r="BE13" s="133">
        <f t="shared" ref="BE13:BE59" si="22">G13</f>
        <v>0</v>
      </c>
      <c r="BF13" s="133">
        <f t="shared" ref="BF13:BF59" si="23">IF(BD13=BE13,1,0)</f>
        <v>1</v>
      </c>
      <c r="BG13" s="133">
        <f t="shared" ref="BG13:BG59" si="24">IF(BB13=BC13,1,)</f>
        <v>1</v>
      </c>
      <c r="BH13" s="133">
        <f t="shared" ref="BH13:BH59" si="25">COUNTIF(BF13:BG13,"1")</f>
        <v>2</v>
      </c>
      <c r="BI13" s="133" t="str">
        <f t="shared" ref="BI13:BI59" si="26">IF(BD13=BB13,"1","0")</f>
        <v>1</v>
      </c>
      <c r="BJ13" s="133" t="str">
        <f t="shared" ref="BJ13:BJ59" si="27">IF(BE13=BC13,"1","0")</f>
        <v>1</v>
      </c>
      <c r="BK13" s="133">
        <f t="shared" ref="BK13:BK59" si="28">BD13-BE13</f>
        <v>0</v>
      </c>
      <c r="BL13" s="133">
        <f t="shared" ref="BL13:BL59" si="29">BB13-BC13</f>
        <v>0</v>
      </c>
      <c r="BM13" s="133" t="str">
        <f t="shared" ref="BM13:BM59" si="30">IF((BK13*BL13)&gt;=0.1,"1","0")</f>
        <v>0</v>
      </c>
      <c r="BN13" s="133" t="str">
        <f t="shared" ref="BN13:BN59" si="31">IF((BK13*BL13)&gt;=0.1,"1","0")</f>
        <v>0</v>
      </c>
      <c r="BO13" s="133">
        <f t="shared" ref="BO13:BO59" si="32">COUNTIF(BH13,"2")</f>
        <v>1</v>
      </c>
      <c r="BP13" s="134" t="str">
        <f t="shared" ref="BP13:BP59" si="33">IF(BI13+BJ13=2,"1","0")</f>
        <v>1</v>
      </c>
      <c r="BQ13" s="134" t="str">
        <f t="shared" ref="BQ13:BQ59" si="34">IF((BD13-BE13)=(BB13-BC13),"1","0")</f>
        <v>1</v>
      </c>
      <c r="BR13" s="134" t="str">
        <f t="shared" ref="BR13:BR59" si="35">IF((BM13+BN13)=2,"1","0")</f>
        <v>0</v>
      </c>
    </row>
    <row r="14" spans="1:70" s="69" customFormat="1" ht="12.75" customHeight="1" x14ac:dyDescent="0.2">
      <c r="A14" s="89">
        <v>3</v>
      </c>
      <c r="B14" s="90" t="str">
        <f t="shared" si="0"/>
        <v>Шанба</v>
      </c>
      <c r="C14" s="91" t="str">
        <f t="shared" si="1"/>
        <v>Июнь 14, 2014</v>
      </c>
      <c r="D14" s="92">
        <f t="shared" si="19"/>
        <v>0</v>
      </c>
      <c r="E14" s="93" t="str">
        <f>AB19</f>
        <v>Испания</v>
      </c>
      <c r="F14" s="54"/>
      <c r="G14" s="55"/>
      <c r="H14" s="100" t="str">
        <f>AB20</f>
        <v>Голландия</v>
      </c>
      <c r="I14" s="310">
        <f t="shared" si="20"/>
        <v>3</v>
      </c>
      <c r="J14" s="311"/>
      <c r="K14" s="2"/>
      <c r="L14" s="21" t="str">
        <f>VLOOKUP(1,AA13:AK16,2,FALSE)</f>
        <v>Бразилия</v>
      </c>
      <c r="M14" s="26">
        <f>N14+O14+P14</f>
        <v>0</v>
      </c>
      <c r="N14" s="26">
        <f>VLOOKUP(1,AA13:AK16,3,FALSE)</f>
        <v>0</v>
      </c>
      <c r="O14" s="26">
        <f>VLOOKUP(1,AA13:AK16,4,FALSE)</f>
        <v>0</v>
      </c>
      <c r="P14" s="26">
        <f>VLOOKUP(1,AA13:AK16,5,FALSE)</f>
        <v>0</v>
      </c>
      <c r="Q14" s="26" t="str">
        <f>VLOOKUP(1,AA13:AK16,6,FALSE) &amp; " - " &amp; VLOOKUP(1,AA13:AK16,7,FALSE)</f>
        <v>0 - 0</v>
      </c>
      <c r="R14" s="27">
        <f>N14*3+O14</f>
        <v>0</v>
      </c>
      <c r="S14" s="44"/>
      <c r="T14" s="64">
        <f>DATE(2014,6,13)+TIME(8,0,0)+gmt_delta</f>
        <v>41804</v>
      </c>
      <c r="U14" s="70" t="str">
        <f t="shared" si="2"/>
        <v/>
      </c>
      <c r="V14" s="70" t="str">
        <f t="shared" si="3"/>
        <v/>
      </c>
      <c r="W14" s="65">
        <f t="shared" si="4"/>
        <v>0</v>
      </c>
      <c r="X14" s="64">
        <f t="shared" si="5"/>
        <v>0</v>
      </c>
      <c r="Y14" s="64">
        <f t="shared" si="6"/>
        <v>0</v>
      </c>
      <c r="Z14" s="65"/>
      <c r="AA14" s="64">
        <f>COUNTIF(AN13:AN16,CONCATENATE("&gt;=",AN14))</f>
        <v>3</v>
      </c>
      <c r="AB14" s="65" t="str">
        <f>INDEX(T,38,lang)</f>
        <v>Хорватия</v>
      </c>
      <c r="AC14" s="64">
        <f>COUNTIF($U$12:$V$59,"=" &amp; AB14 &amp; "_win")</f>
        <v>0</v>
      </c>
      <c r="AD14" s="64">
        <f>COUNTIF($U$12:$V$59,"=" &amp; AB14 &amp; "_draw")</f>
        <v>0</v>
      </c>
      <c r="AE14" s="64">
        <f>COUNTIF($U$12:$V$59,"=" &amp; AB14 &amp; "_lose")</f>
        <v>0</v>
      </c>
      <c r="AF14" s="64">
        <f>SUMIF($E$12:$E$59,$AB14,$F$12:$F$59) + SUMIF($H$12:$H$59,$AB14,$G$12:$G$59)</f>
        <v>0</v>
      </c>
      <c r="AG14" s="64">
        <f>SUMIF($E$12:$E$59,$AB14,$G$12:$G$59) + SUMIF($H$12:$H$59,$AB14,$F$12:$F$59)</f>
        <v>0</v>
      </c>
      <c r="AH14" s="64">
        <f>(AF14-AG14)+1</f>
        <v>1</v>
      </c>
      <c r="AI14" s="64">
        <f>AF14-AG14</f>
        <v>0</v>
      </c>
      <c r="AJ14" s="64">
        <f>(AI14-AI18)/AI17</f>
        <v>0</v>
      </c>
      <c r="AK14" s="64">
        <f>AC14*3+AD14</f>
        <v>0</v>
      </c>
      <c r="AL14" s="64">
        <f>AP14/AP17*1000+AQ14/AQ17*100+AT14/AT17*10+AR14/AR17</f>
        <v>0</v>
      </c>
      <c r="AM14" s="64">
        <f>VLOOKUP(AB14,db_fifarank,2,FALSE)/2000000</f>
        <v>4.3550000000000001E-4</v>
      </c>
      <c r="AN14" s="65">
        <f>1000*AK14/AK17+100*AJ14+10*AF14/AF17+1*AL14/AL17+AM14</f>
        <v>4.3550000000000001E-4</v>
      </c>
      <c r="AO14" s="66" t="str">
        <f>IF(SUM(AC13:AE16)=12,L15,INDEX(T,71,lang))</f>
        <v>2A</v>
      </c>
      <c r="AP14" s="67">
        <f>SUMPRODUCT(($U$12:$U$59=AB14&amp;"_win")*($W$12:$W$59))+SUMPRODUCT(($V$12:$V$59=AB14&amp;"_win")*($W$12:$W$59))</f>
        <v>0</v>
      </c>
      <c r="AQ14" s="68">
        <f>SUMPRODUCT(($U$12:$U$59=AB14&amp;"_draw")*($W$12:$W$59))+SUMPRODUCT(($V$12:$V$59=AB14&amp;"_draw")*($W$12:$W$59))</f>
        <v>0</v>
      </c>
      <c r="AR14" s="68">
        <f>SUMPRODUCT(($E$12:$E$59=AB14)*($W$12:$W$59)*($F$12:$F$59))+SUMPRODUCT(($H$12:$H$59=AB14)*($W$12:$W$59)*($G$12:$G$59))</f>
        <v>0</v>
      </c>
      <c r="AS14" s="68">
        <f>SUMPRODUCT(($E$12:$E$59=AB14)*($W$12:$W$59)*($G$12:$G$59))+SUMPRODUCT(($H$12:$H$59=AB14)*($W$12:$W$59)*($F$12:$F$59))</f>
        <v>0</v>
      </c>
      <c r="AT14" s="68">
        <f>AR14-AS14</f>
        <v>0</v>
      </c>
      <c r="AX14" s="83"/>
      <c r="AY14" s="2"/>
      <c r="AZ14" s="2"/>
      <c r="BA14" s="2"/>
      <c r="BB14" s="133">
        <f>'Anketa-2014'!F15</f>
        <v>0</v>
      </c>
      <c r="BC14" s="133">
        <f>'Anketa-2014'!G15</f>
        <v>0</v>
      </c>
      <c r="BD14" s="133">
        <f t="shared" si="21"/>
        <v>0</v>
      </c>
      <c r="BE14" s="133">
        <f t="shared" si="22"/>
        <v>0</v>
      </c>
      <c r="BF14" s="133">
        <f t="shared" si="23"/>
        <v>1</v>
      </c>
      <c r="BG14" s="133">
        <f t="shared" si="24"/>
        <v>1</v>
      </c>
      <c r="BH14" s="133">
        <f t="shared" si="25"/>
        <v>2</v>
      </c>
      <c r="BI14" s="133" t="str">
        <f t="shared" si="26"/>
        <v>1</v>
      </c>
      <c r="BJ14" s="133" t="str">
        <f t="shared" si="27"/>
        <v>1</v>
      </c>
      <c r="BK14" s="133">
        <f t="shared" si="28"/>
        <v>0</v>
      </c>
      <c r="BL14" s="133">
        <f t="shared" si="29"/>
        <v>0</v>
      </c>
      <c r="BM14" s="133" t="str">
        <f t="shared" si="30"/>
        <v>0</v>
      </c>
      <c r="BN14" s="133" t="str">
        <f t="shared" si="31"/>
        <v>0</v>
      </c>
      <c r="BO14" s="133">
        <f t="shared" si="32"/>
        <v>1</v>
      </c>
      <c r="BP14" s="134" t="str">
        <f t="shared" si="33"/>
        <v>1</v>
      </c>
      <c r="BQ14" s="134" t="str">
        <f t="shared" si="34"/>
        <v>1</v>
      </c>
      <c r="BR14" s="134" t="str">
        <f t="shared" si="35"/>
        <v>0</v>
      </c>
    </row>
    <row r="15" spans="1:70" s="69" customFormat="1" x14ac:dyDescent="0.2">
      <c r="A15" s="89">
        <v>4</v>
      </c>
      <c r="B15" s="90" t="str">
        <f t="shared" si="0"/>
        <v>Шанба</v>
      </c>
      <c r="C15" s="91" t="str">
        <f t="shared" si="1"/>
        <v>Июнь 14, 2014</v>
      </c>
      <c r="D15" s="92">
        <f t="shared" si="19"/>
        <v>0.125</v>
      </c>
      <c r="E15" s="93" t="str">
        <f>AB21</f>
        <v>Чили</v>
      </c>
      <c r="F15" s="54"/>
      <c r="G15" s="55"/>
      <c r="H15" s="100" t="str">
        <f>AB22</f>
        <v>Австралия</v>
      </c>
      <c r="I15" s="310">
        <f t="shared" si="20"/>
        <v>3</v>
      </c>
      <c r="J15" s="311"/>
      <c r="K15" s="2"/>
      <c r="L15" s="22" t="str">
        <f>VLOOKUP(2,AA13:AK16,2,FALSE)</f>
        <v>Мексика</v>
      </c>
      <c r="M15" s="28">
        <f>N15+O15+P15</f>
        <v>0</v>
      </c>
      <c r="N15" s="28">
        <f>VLOOKUP(2,AA13:AK16,3,FALSE)</f>
        <v>0</v>
      </c>
      <c r="O15" s="28">
        <f>VLOOKUP(2,AA13:AK16,4,FALSE)</f>
        <v>0</v>
      </c>
      <c r="P15" s="28">
        <f>VLOOKUP(2,AA13:AK16,5,FALSE)</f>
        <v>0</v>
      </c>
      <c r="Q15" s="28" t="str">
        <f>VLOOKUP(2,AA13:AK16,6,FALSE) &amp; " - " &amp; VLOOKUP(2,AA13:AK16,7,FALSE)</f>
        <v>0 - 0</v>
      </c>
      <c r="R15" s="29">
        <f>N15*3+O15</f>
        <v>0</v>
      </c>
      <c r="S15" s="44"/>
      <c r="T15" s="64">
        <f>DATE(2014,6,13)+TIME(11,0,0)+gmt_delta</f>
        <v>41804.125</v>
      </c>
      <c r="U15" s="70" t="str">
        <f t="shared" si="2"/>
        <v/>
      </c>
      <c r="V15" s="70" t="str">
        <f t="shared" si="3"/>
        <v/>
      </c>
      <c r="W15" s="65">
        <f t="shared" si="4"/>
        <v>0</v>
      </c>
      <c r="X15" s="64">
        <f t="shared" si="5"/>
        <v>0</v>
      </c>
      <c r="Y15" s="64">
        <f t="shared" si="6"/>
        <v>0</v>
      </c>
      <c r="Z15" s="65"/>
      <c r="AA15" s="64">
        <f>COUNTIF(AN13:AN16,CONCATENATE("&gt;=",AN15))</f>
        <v>2</v>
      </c>
      <c r="AB15" s="65" t="str">
        <f>INDEX(T,39,lang)</f>
        <v>Мексика</v>
      </c>
      <c r="AC15" s="64">
        <f>COUNTIF($U$12:$V$59,"=" &amp; AB15 &amp; "_win")</f>
        <v>0</v>
      </c>
      <c r="AD15" s="64">
        <f>COUNTIF($U$12:$V$59,"=" &amp; AB15 &amp; "_draw")</f>
        <v>0</v>
      </c>
      <c r="AE15" s="64">
        <f>COUNTIF($U$12:$V$59,"=" &amp; AB15 &amp; "_lose")</f>
        <v>0</v>
      </c>
      <c r="AF15" s="64">
        <f>SUMIF($E$12:$E$59,$AB15,$F$12:$F$59) + SUMIF($H$12:$H$59,$AB15,$G$12:$G$59)</f>
        <v>0</v>
      </c>
      <c r="AG15" s="64">
        <f>SUMIF($E$12:$E$59,$AB15,$G$12:$G$59) + SUMIF($H$12:$H$59,$AB15,$F$12:$F$59)</f>
        <v>0</v>
      </c>
      <c r="AH15" s="64">
        <f>(AF15-AG15)+1</f>
        <v>1</v>
      </c>
      <c r="AI15" s="64">
        <f>AF15-AG15</f>
        <v>0</v>
      </c>
      <c r="AJ15" s="64">
        <f>(AI15-AI18)/AI17</f>
        <v>0</v>
      </c>
      <c r="AK15" s="64">
        <f>AC15*3+AD15</f>
        <v>0</v>
      </c>
      <c r="AL15" s="64">
        <f>AP15/AP17*1000+AQ15/AQ17*100+AT15/AT17*10+AR15/AR17</f>
        <v>0</v>
      </c>
      <c r="AM15" s="64">
        <f>VLOOKUP(AB15,db_fifarank,2,FALSE)/2000000</f>
        <v>4.3849999999999998E-4</v>
      </c>
      <c r="AN15" s="65">
        <f>1000*AK15/AK17+100*AJ15+10*AF15/AF17+1*AL15/AL17+AM15</f>
        <v>4.3849999999999998E-4</v>
      </c>
      <c r="AO15" s="66"/>
      <c r="AP15" s="67">
        <f>SUMPRODUCT(($U$12:$U$59=AB15&amp;"_win")*($W$12:$W$59))+SUMPRODUCT(($V$12:$V$59=AB15&amp;"_win")*($W$12:$W$59))</f>
        <v>0</v>
      </c>
      <c r="AQ15" s="68">
        <f>SUMPRODUCT(($U$12:$U$59=AB15&amp;"_draw")*($W$12:$W$59))+SUMPRODUCT(($V$12:$V$59=AB15&amp;"_draw")*($W$12:$W$59))</f>
        <v>0</v>
      </c>
      <c r="AR15" s="68">
        <f>SUMPRODUCT(($E$12:$E$59=AB15)*($W$12:$W$59)*($F$12:$F$59))+SUMPRODUCT(($H$12:$H$59=AB15)*($W$12:$W$59)*($G$12:$G$59))</f>
        <v>0</v>
      </c>
      <c r="AS15" s="68">
        <f>SUMPRODUCT(($E$12:$E$59=AB15)*($W$12:$W$59)*($G$12:$G$59))+SUMPRODUCT(($H$12:$H$59=AB15)*($W$12:$W$59)*($F$12:$F$59))</f>
        <v>0</v>
      </c>
      <c r="AT15" s="68">
        <f>AR15-AS15</f>
        <v>0</v>
      </c>
      <c r="AX15" s="83"/>
      <c r="AY15" s="2"/>
      <c r="AZ15" s="2"/>
      <c r="BA15" s="2"/>
      <c r="BB15" s="133">
        <f>'Anketa-2014'!F16</f>
        <v>0</v>
      </c>
      <c r="BC15" s="133">
        <f>'Anketa-2014'!G16</f>
        <v>0</v>
      </c>
      <c r="BD15" s="133">
        <f t="shared" si="21"/>
        <v>0</v>
      </c>
      <c r="BE15" s="133">
        <f t="shared" si="22"/>
        <v>0</v>
      </c>
      <c r="BF15" s="133">
        <f t="shared" si="23"/>
        <v>1</v>
      </c>
      <c r="BG15" s="133">
        <f t="shared" si="24"/>
        <v>1</v>
      </c>
      <c r="BH15" s="133">
        <f t="shared" si="25"/>
        <v>2</v>
      </c>
      <c r="BI15" s="133" t="str">
        <f t="shared" si="26"/>
        <v>1</v>
      </c>
      <c r="BJ15" s="133" t="str">
        <f t="shared" si="27"/>
        <v>1</v>
      </c>
      <c r="BK15" s="133">
        <f t="shared" si="28"/>
        <v>0</v>
      </c>
      <c r="BL15" s="133">
        <f t="shared" si="29"/>
        <v>0</v>
      </c>
      <c r="BM15" s="133" t="str">
        <f t="shared" si="30"/>
        <v>0</v>
      </c>
      <c r="BN15" s="133" t="str">
        <f t="shared" si="31"/>
        <v>0</v>
      </c>
      <c r="BO15" s="133">
        <f t="shared" si="32"/>
        <v>1</v>
      </c>
      <c r="BP15" s="134" t="str">
        <f t="shared" si="33"/>
        <v>1</v>
      </c>
      <c r="BQ15" s="134" t="str">
        <f t="shared" si="34"/>
        <v>1</v>
      </c>
      <c r="BR15" s="134" t="str">
        <f t="shared" si="35"/>
        <v>0</v>
      </c>
    </row>
    <row r="16" spans="1:70" s="69" customFormat="1" x14ac:dyDescent="0.2">
      <c r="A16" s="89">
        <v>5</v>
      </c>
      <c r="B16" s="90" t="str">
        <f t="shared" si="0"/>
        <v>Шанба</v>
      </c>
      <c r="C16" s="91" t="str">
        <f t="shared" si="1"/>
        <v>Июнь 14, 2014</v>
      </c>
      <c r="D16" s="92">
        <f t="shared" si="19"/>
        <v>0.875</v>
      </c>
      <c r="E16" s="93" t="str">
        <f>AB25</f>
        <v>Колумбия</v>
      </c>
      <c r="F16" s="54"/>
      <c r="G16" s="55"/>
      <c r="H16" s="100" t="str">
        <f>AB26</f>
        <v>Греция</v>
      </c>
      <c r="I16" s="310">
        <f t="shared" si="20"/>
        <v>3</v>
      </c>
      <c r="J16" s="311"/>
      <c r="K16" s="2"/>
      <c r="L16" s="22" t="str">
        <f>VLOOKUP(3,AA13:AK16,2,FALSE)</f>
        <v>Хорватия</v>
      </c>
      <c r="M16" s="28">
        <f>N16+O16+P16</f>
        <v>0</v>
      </c>
      <c r="N16" s="28">
        <f>VLOOKUP(3,AA13:AK16,3,FALSE)</f>
        <v>0</v>
      </c>
      <c r="O16" s="28">
        <f>VLOOKUP(3,AA13:AK16,4,FALSE)</f>
        <v>0</v>
      </c>
      <c r="P16" s="28">
        <f>VLOOKUP(3,AA13:AK16,5,FALSE)</f>
        <v>0</v>
      </c>
      <c r="Q16" s="28" t="str">
        <f>VLOOKUP(3,AA13:AK16,6,FALSE) &amp; " - " &amp; VLOOKUP(3,AA13:AK16,7,FALSE)</f>
        <v>0 - 0</v>
      </c>
      <c r="R16" s="29">
        <f>N16*3+O16</f>
        <v>0</v>
      </c>
      <c r="S16" s="44"/>
      <c r="T16" s="64">
        <f>DATE(2014,6,14)+TIME(5,0,0)+gmt_delta</f>
        <v>41804.875</v>
      </c>
      <c r="U16" s="70" t="str">
        <f t="shared" si="2"/>
        <v/>
      </c>
      <c r="V16" s="70" t="str">
        <f t="shared" si="3"/>
        <v/>
      </c>
      <c r="W16" s="65">
        <f t="shared" si="4"/>
        <v>0</v>
      </c>
      <c r="X16" s="64">
        <f t="shared" si="5"/>
        <v>0</v>
      </c>
      <c r="Y16" s="64">
        <f t="shared" si="6"/>
        <v>0</v>
      </c>
      <c r="Z16" s="65"/>
      <c r="AA16" s="64">
        <f>COUNTIF(AN13:AN16,CONCATENATE("&gt;=",AN16))</f>
        <v>4</v>
      </c>
      <c r="AB16" s="65" t="str">
        <f>INDEX(T,57,lang)</f>
        <v>Камерун</v>
      </c>
      <c r="AC16" s="64">
        <f>COUNTIF($U$12:$V$59,"=" &amp; AB16 &amp; "_win")</f>
        <v>0</v>
      </c>
      <c r="AD16" s="64">
        <f>COUNTIF($U$12:$V$59,"=" &amp; AB16 &amp; "_draw")</f>
        <v>0</v>
      </c>
      <c r="AE16" s="64">
        <f>COUNTIF($U$12:$V$59,"=" &amp; AB16 &amp; "_lose")</f>
        <v>0</v>
      </c>
      <c r="AF16" s="64">
        <f>SUMIF($E$12:$E$59,$AB16,$F$12:$F$59) + SUMIF($H$12:$H$59,$AB16,$G$12:$G$59)</f>
        <v>0</v>
      </c>
      <c r="AG16" s="64">
        <f>SUMIF($E$12:$E$59,$AB16,$G$12:$G$59) + SUMIF($H$12:$H$59,$AB16,$F$12:$F$59)</f>
        <v>0</v>
      </c>
      <c r="AH16" s="64">
        <f>(AF16-AG16)+1</f>
        <v>1</v>
      </c>
      <c r="AI16" s="64">
        <f>AF16-AG16</f>
        <v>0</v>
      </c>
      <c r="AJ16" s="64">
        <f>(AI16-AI18)/AI17</f>
        <v>0</v>
      </c>
      <c r="AK16" s="64">
        <f>AC16*3+AD16</f>
        <v>0</v>
      </c>
      <c r="AL16" s="64">
        <f>AP16/AP17*1000+AQ16/AQ17*100+AT16/AT17*10+AR16/AR17</f>
        <v>0</v>
      </c>
      <c r="AM16" s="64">
        <f>VLOOKUP(AB16,db_fifarank,2,FALSE)/2000000</f>
        <v>2.9149999999999998E-4</v>
      </c>
      <c r="AN16" s="65">
        <f>1000*AK16/AK17+100*AJ16+10*AF16/AF17+1*AL16/AL17+AM16</f>
        <v>2.9149999999999998E-4</v>
      </c>
      <c r="AO16" s="66"/>
      <c r="AP16" s="67">
        <f>SUMPRODUCT(($U$12:$U$59=AB16&amp;"_win")*($W$12:$W$59))+SUMPRODUCT(($V$12:$V$59=AB16&amp;"_win")*($W$12:$W$59))</f>
        <v>0</v>
      </c>
      <c r="AQ16" s="68">
        <f>SUMPRODUCT(($U$12:$U$59=AB16&amp;"_draw")*($W$12:$W$59))+SUMPRODUCT(($V$12:$V$59=AB16&amp;"_draw")*($W$12:$W$59))</f>
        <v>0</v>
      </c>
      <c r="AR16" s="68">
        <f>SUMPRODUCT(($E$12:$E$59=AB16)*($W$12:$W$59)*($F$12:$F$59))+SUMPRODUCT(($H$12:$H$59=AB16)*($W$12:$W$59)*($G$12:$G$59))</f>
        <v>0</v>
      </c>
      <c r="AS16" s="68">
        <f>SUMPRODUCT(($E$12:$E$59=AB16)*($W$12:$W$59)*($G$12:$G$59))+SUMPRODUCT(($H$12:$H$59=AB16)*($W$12:$W$59)*($F$12:$F$59))</f>
        <v>0</v>
      </c>
      <c r="AT16" s="68">
        <f>AR16-AS16</f>
        <v>0</v>
      </c>
      <c r="AX16" s="83"/>
      <c r="AY16" s="2"/>
      <c r="AZ16" s="2"/>
      <c r="BA16" s="2"/>
      <c r="BB16" s="133">
        <f>'Anketa-2014'!F17</f>
        <v>0</v>
      </c>
      <c r="BC16" s="133">
        <f>'Anketa-2014'!G17</f>
        <v>0</v>
      </c>
      <c r="BD16" s="133">
        <f t="shared" si="21"/>
        <v>0</v>
      </c>
      <c r="BE16" s="133">
        <f t="shared" si="22"/>
        <v>0</v>
      </c>
      <c r="BF16" s="133">
        <f t="shared" si="23"/>
        <v>1</v>
      </c>
      <c r="BG16" s="133">
        <f t="shared" si="24"/>
        <v>1</v>
      </c>
      <c r="BH16" s="133">
        <f t="shared" si="25"/>
        <v>2</v>
      </c>
      <c r="BI16" s="133" t="str">
        <f t="shared" si="26"/>
        <v>1</v>
      </c>
      <c r="BJ16" s="133" t="str">
        <f t="shared" si="27"/>
        <v>1</v>
      </c>
      <c r="BK16" s="133">
        <f t="shared" si="28"/>
        <v>0</v>
      </c>
      <c r="BL16" s="133">
        <f t="shared" si="29"/>
        <v>0</v>
      </c>
      <c r="BM16" s="133" t="str">
        <f t="shared" si="30"/>
        <v>0</v>
      </c>
      <c r="BN16" s="133" t="str">
        <f t="shared" si="31"/>
        <v>0</v>
      </c>
      <c r="BO16" s="133">
        <f t="shared" si="32"/>
        <v>1</v>
      </c>
      <c r="BP16" s="134" t="str">
        <f t="shared" si="33"/>
        <v>1</v>
      </c>
      <c r="BQ16" s="134" t="str">
        <f t="shared" si="34"/>
        <v>1</v>
      </c>
      <c r="BR16" s="134" t="str">
        <f t="shared" si="35"/>
        <v>0</v>
      </c>
    </row>
    <row r="17" spans="1:70" s="69" customFormat="1" x14ac:dyDescent="0.2">
      <c r="A17" s="89">
        <v>6</v>
      </c>
      <c r="B17" s="90" t="str">
        <f t="shared" si="0"/>
        <v>Якш</v>
      </c>
      <c r="C17" s="91" t="str">
        <f t="shared" si="1"/>
        <v>Июнь 15, 2014</v>
      </c>
      <c r="D17" s="92">
        <f t="shared" si="19"/>
        <v>0.25</v>
      </c>
      <c r="E17" s="93" t="str">
        <f>AB27</f>
        <v>Кот-д’Ивуар</v>
      </c>
      <c r="F17" s="54"/>
      <c r="G17" s="55"/>
      <c r="H17" s="100" t="str">
        <f>AB28</f>
        <v>Япония</v>
      </c>
      <c r="I17" s="310">
        <f t="shared" si="20"/>
        <v>3</v>
      </c>
      <c r="J17" s="311"/>
      <c r="K17" s="2"/>
      <c r="L17" s="23" t="str">
        <f>VLOOKUP(4,AA13:AK16,2,FALSE)</f>
        <v>Камерун</v>
      </c>
      <c r="M17" s="30">
        <f>N17+O17+P17</f>
        <v>0</v>
      </c>
      <c r="N17" s="30">
        <f>VLOOKUP(4,AA13:AK16,3,FALSE)</f>
        <v>0</v>
      </c>
      <c r="O17" s="30">
        <f>VLOOKUP(4,AA13:AK16,4,FALSE)</f>
        <v>0</v>
      </c>
      <c r="P17" s="30">
        <f>VLOOKUP(4,AA13:AK16,5,FALSE)</f>
        <v>0</v>
      </c>
      <c r="Q17" s="30" t="str">
        <f>VLOOKUP(4,AA13:AK16,6,FALSE) &amp; " - " &amp; VLOOKUP(4,AA13:AK16,7,FALSE)</f>
        <v>0 - 0</v>
      </c>
      <c r="R17" s="31">
        <f>N17*3+O17</f>
        <v>0</v>
      </c>
      <c r="S17" s="44"/>
      <c r="T17" s="64">
        <f>DATE(2014,6,14)+TIME(14,0,0)+gmt_delta</f>
        <v>41805.25</v>
      </c>
      <c r="U17" s="70" t="str">
        <f t="shared" si="2"/>
        <v/>
      </c>
      <c r="V17" s="70" t="str">
        <f t="shared" si="3"/>
        <v/>
      </c>
      <c r="W17" s="65">
        <f t="shared" si="4"/>
        <v>0</v>
      </c>
      <c r="X17" s="64">
        <f t="shared" si="5"/>
        <v>0</v>
      </c>
      <c r="Y17" s="64">
        <f t="shared" si="6"/>
        <v>0</v>
      </c>
      <c r="Z17" s="65"/>
      <c r="AA17" s="64"/>
      <c r="AB17" s="65"/>
      <c r="AC17" s="64">
        <f t="shared" ref="AC17:AL17" si="36">MAX(AC13:AC16)-MIN(AC13:AC16)+1</f>
        <v>1</v>
      </c>
      <c r="AD17" s="64">
        <f t="shared" si="36"/>
        <v>1</v>
      </c>
      <c r="AE17" s="64">
        <f t="shared" si="36"/>
        <v>1</v>
      </c>
      <c r="AF17" s="64">
        <f t="shared" si="36"/>
        <v>1</v>
      </c>
      <c r="AG17" s="64">
        <f t="shared" si="36"/>
        <v>1</v>
      </c>
      <c r="AH17" s="64">
        <f>MAX(AH13:AH16)-AH18+1</f>
        <v>1</v>
      </c>
      <c r="AI17" s="64">
        <f>MAX(AI13:AI16)-AI18+1</f>
        <v>1</v>
      </c>
      <c r="AJ17" s="64"/>
      <c r="AK17" s="64">
        <f t="shared" si="36"/>
        <v>1</v>
      </c>
      <c r="AL17" s="64">
        <f t="shared" si="36"/>
        <v>1</v>
      </c>
      <c r="AM17" s="65"/>
      <c r="AN17" s="65"/>
      <c r="AO17" s="66"/>
      <c r="AP17" s="64">
        <f>MAX(AP13:AP16)-MIN(AP13:AP16)+1</f>
        <v>1</v>
      </c>
      <c r="AQ17" s="64">
        <f>MAX(AQ13:AQ16)-MIN(AQ13:AQ16)+1</f>
        <v>1</v>
      </c>
      <c r="AR17" s="64">
        <f>MAX(AR13:AR16)-MIN(AR13:AR16)+1</f>
        <v>1</v>
      </c>
      <c r="AS17" s="64">
        <f>MAX(AS13:AS16)-MIN(AS13:AS16)+1</f>
        <v>1</v>
      </c>
      <c r="AT17" s="64">
        <f>MAX(AT13:AT16)-MIN(AT13:AT16)+1</f>
        <v>1</v>
      </c>
      <c r="AX17" s="83"/>
      <c r="AY17" s="2"/>
      <c r="AZ17" s="2"/>
      <c r="BA17" s="2"/>
      <c r="BB17" s="133">
        <f>'Anketa-2014'!F18</f>
        <v>0</v>
      </c>
      <c r="BC17" s="133">
        <f>'Anketa-2014'!G18</f>
        <v>0</v>
      </c>
      <c r="BD17" s="133">
        <f t="shared" si="21"/>
        <v>0</v>
      </c>
      <c r="BE17" s="133">
        <f t="shared" si="22"/>
        <v>0</v>
      </c>
      <c r="BF17" s="133">
        <f t="shared" si="23"/>
        <v>1</v>
      </c>
      <c r="BG17" s="133">
        <f t="shared" si="24"/>
        <v>1</v>
      </c>
      <c r="BH17" s="133">
        <f t="shared" si="25"/>
        <v>2</v>
      </c>
      <c r="BI17" s="133" t="str">
        <f t="shared" si="26"/>
        <v>1</v>
      </c>
      <c r="BJ17" s="133" t="str">
        <f t="shared" si="27"/>
        <v>1</v>
      </c>
      <c r="BK17" s="133">
        <f t="shared" si="28"/>
        <v>0</v>
      </c>
      <c r="BL17" s="133">
        <f t="shared" si="29"/>
        <v>0</v>
      </c>
      <c r="BM17" s="133" t="str">
        <f t="shared" si="30"/>
        <v>0</v>
      </c>
      <c r="BN17" s="133" t="str">
        <f t="shared" si="31"/>
        <v>0</v>
      </c>
      <c r="BO17" s="133">
        <f t="shared" si="32"/>
        <v>1</v>
      </c>
      <c r="BP17" s="134" t="str">
        <f t="shared" si="33"/>
        <v>1</v>
      </c>
      <c r="BQ17" s="134" t="str">
        <f t="shared" si="34"/>
        <v>1</v>
      </c>
      <c r="BR17" s="134" t="str">
        <f t="shared" si="35"/>
        <v>0</v>
      </c>
    </row>
    <row r="18" spans="1:70" s="69" customFormat="1" x14ac:dyDescent="0.2">
      <c r="A18" s="89">
        <v>7</v>
      </c>
      <c r="B18" s="90" t="str">
        <f t="shared" si="0"/>
        <v>Якш</v>
      </c>
      <c r="C18" s="91" t="str">
        <f t="shared" si="1"/>
        <v>Июнь 15, 2014</v>
      </c>
      <c r="D18" s="92">
        <f t="shared" si="19"/>
        <v>0</v>
      </c>
      <c r="E18" s="93" t="str">
        <f>AB31</f>
        <v>Уругвай</v>
      </c>
      <c r="F18" s="54"/>
      <c r="G18" s="55"/>
      <c r="H18" s="100" t="str">
        <f>AB32</f>
        <v>Коста-Рика</v>
      </c>
      <c r="I18" s="310">
        <f t="shared" si="20"/>
        <v>3</v>
      </c>
      <c r="J18" s="311"/>
      <c r="K18" s="2"/>
      <c r="L18" s="32"/>
      <c r="M18" s="33"/>
      <c r="N18" s="33"/>
      <c r="O18" s="33"/>
      <c r="P18" s="33"/>
      <c r="Q18" s="33"/>
      <c r="R18" s="33"/>
      <c r="S18" s="44"/>
      <c r="T18" s="64">
        <f>DATE(2014,6,14)+TIME(8,0,0)+gmt_delta</f>
        <v>41805</v>
      </c>
      <c r="U18" s="70" t="str">
        <f t="shared" si="2"/>
        <v/>
      </c>
      <c r="V18" s="70" t="str">
        <f t="shared" si="3"/>
        <v/>
      </c>
      <c r="W18" s="65">
        <f t="shared" si="4"/>
        <v>0</v>
      </c>
      <c r="X18" s="64">
        <f t="shared" si="5"/>
        <v>0</v>
      </c>
      <c r="Y18" s="64">
        <f t="shared" si="6"/>
        <v>0</v>
      </c>
      <c r="Z18" s="65"/>
      <c r="AA18" s="64"/>
      <c r="AB18" s="65"/>
      <c r="AC18" s="64"/>
      <c r="AD18" s="64"/>
      <c r="AE18" s="64"/>
      <c r="AF18" s="64"/>
      <c r="AG18" s="64"/>
      <c r="AH18" s="64">
        <f>MIN(AH13:AH16)</f>
        <v>1</v>
      </c>
      <c r="AI18" s="64">
        <f>MIN(AI13:AI16)</f>
        <v>0</v>
      </c>
      <c r="AJ18" s="64"/>
      <c r="AK18" s="64"/>
      <c r="AL18" s="64"/>
      <c r="AM18" s="65"/>
      <c r="AN18" s="65"/>
      <c r="AO18" s="66"/>
      <c r="AP18" s="67"/>
      <c r="AQ18" s="68"/>
      <c r="AR18" s="68"/>
      <c r="AS18" s="68"/>
      <c r="AT18" s="68"/>
      <c r="AX18" s="83"/>
      <c r="AY18" s="2"/>
      <c r="AZ18" s="2"/>
      <c r="BA18" s="2"/>
      <c r="BB18" s="133">
        <f>'Anketa-2014'!F19</f>
        <v>0</v>
      </c>
      <c r="BC18" s="133">
        <f>'Anketa-2014'!G19</f>
        <v>0</v>
      </c>
      <c r="BD18" s="133">
        <f t="shared" si="21"/>
        <v>0</v>
      </c>
      <c r="BE18" s="133">
        <f t="shared" si="22"/>
        <v>0</v>
      </c>
      <c r="BF18" s="133">
        <f t="shared" si="23"/>
        <v>1</v>
      </c>
      <c r="BG18" s="133">
        <f t="shared" si="24"/>
        <v>1</v>
      </c>
      <c r="BH18" s="133">
        <f t="shared" si="25"/>
        <v>2</v>
      </c>
      <c r="BI18" s="133" t="str">
        <f t="shared" si="26"/>
        <v>1</v>
      </c>
      <c r="BJ18" s="133" t="str">
        <f t="shared" si="27"/>
        <v>1</v>
      </c>
      <c r="BK18" s="133">
        <f t="shared" si="28"/>
        <v>0</v>
      </c>
      <c r="BL18" s="133">
        <f t="shared" si="29"/>
        <v>0</v>
      </c>
      <c r="BM18" s="133" t="str">
        <f t="shared" si="30"/>
        <v>0</v>
      </c>
      <c r="BN18" s="133" t="str">
        <f t="shared" si="31"/>
        <v>0</v>
      </c>
      <c r="BO18" s="133">
        <f t="shared" si="32"/>
        <v>1</v>
      </c>
      <c r="BP18" s="134" t="str">
        <f t="shared" si="33"/>
        <v>1</v>
      </c>
      <c r="BQ18" s="134" t="str">
        <f t="shared" si="34"/>
        <v>1</v>
      </c>
      <c r="BR18" s="134" t="str">
        <f t="shared" si="35"/>
        <v>0</v>
      </c>
    </row>
    <row r="19" spans="1:70" s="69" customFormat="1" x14ac:dyDescent="0.2">
      <c r="A19" s="89">
        <v>8</v>
      </c>
      <c r="B19" s="90" t="str">
        <f t="shared" si="0"/>
        <v>Якш</v>
      </c>
      <c r="C19" s="91" t="str">
        <f t="shared" si="1"/>
        <v>Июнь 15, 2014</v>
      </c>
      <c r="D19" s="92">
        <f t="shared" si="19"/>
        <v>0.125</v>
      </c>
      <c r="E19" s="93" t="str">
        <f>AB33</f>
        <v>Англия</v>
      </c>
      <c r="F19" s="54"/>
      <c r="G19" s="55"/>
      <c r="H19" s="100" t="str">
        <f>AB34</f>
        <v>Италия</v>
      </c>
      <c r="I19" s="310">
        <f t="shared" si="20"/>
        <v>3</v>
      </c>
      <c r="J19" s="311"/>
      <c r="K19" s="2"/>
      <c r="L19" s="52" t="str">
        <f>INDEX(T,9,lang) &amp; " " &amp; "B"</f>
        <v>Гуруҳ B</v>
      </c>
      <c r="M19" s="53" t="str">
        <f>INDEX(T,10,lang)</f>
        <v>Ў</v>
      </c>
      <c r="N19" s="53" t="str">
        <f>INDEX(T,11,lang)</f>
        <v>Ю</v>
      </c>
      <c r="O19" s="53" t="str">
        <f>INDEX(T,12,lang)</f>
        <v>Д</v>
      </c>
      <c r="P19" s="53" t="str">
        <f>INDEX(T,13,lang)</f>
        <v>М</v>
      </c>
      <c r="Q19" s="53" t="str">
        <f>INDEX(T,14,lang)</f>
        <v>Тўп. нисб.</v>
      </c>
      <c r="R19" s="53" t="str">
        <f>INDEX(T,15,lang)</f>
        <v>Очколар</v>
      </c>
      <c r="S19" s="44"/>
      <c r="T19" s="64">
        <f>DATE(2014,6,14)+TIME(11,0,0)+gmt_delta</f>
        <v>41805.125</v>
      </c>
      <c r="U19" s="70" t="str">
        <f t="shared" si="2"/>
        <v/>
      </c>
      <c r="V19" s="70" t="str">
        <f t="shared" si="3"/>
        <v/>
      </c>
      <c r="W19" s="65">
        <f t="shared" si="4"/>
        <v>0</v>
      </c>
      <c r="X19" s="64">
        <f t="shared" si="5"/>
        <v>0</v>
      </c>
      <c r="Y19" s="64">
        <f t="shared" si="6"/>
        <v>0</v>
      </c>
      <c r="Z19" s="65"/>
      <c r="AA19" s="64">
        <f>COUNTIF(AN19:AN22,CONCATENATE("&gt;=",AN19))</f>
        <v>1</v>
      </c>
      <c r="AB19" s="65" t="str">
        <f>INDEX(T,66,lang)</f>
        <v>Испания</v>
      </c>
      <c r="AC19" s="64">
        <f>COUNTIF($U$12:$V$59,"=" &amp; AB19 &amp; "_win")</f>
        <v>0</v>
      </c>
      <c r="AD19" s="64">
        <f>COUNTIF($U$12:$V$59,"=" &amp; AB19 &amp; "_draw")</f>
        <v>0</v>
      </c>
      <c r="AE19" s="64">
        <f>COUNTIF($U$12:$V$59,"=" &amp; AB19 &amp; "_lose")</f>
        <v>0</v>
      </c>
      <c r="AF19" s="64">
        <f>SUMIF($E$12:$E$59,$AB19,$F$12:$F$59) + SUMIF($H$12:$H$59,$AB19,$G$12:$G$59)</f>
        <v>0</v>
      </c>
      <c r="AG19" s="64">
        <f>SUMIF($E$12:$E$59,$AB19,$G$12:$G$59) + SUMIF($H$12:$H$59,$AB19,$F$12:$F$59)</f>
        <v>0</v>
      </c>
      <c r="AH19" s="64">
        <f>(AF19-AG19)*100+AK19*10000+AF19</f>
        <v>0</v>
      </c>
      <c r="AI19" s="64">
        <f>AF19-AG19</f>
        <v>0</v>
      </c>
      <c r="AJ19" s="64">
        <f>(AI19-AI24)/AI23</f>
        <v>0</v>
      </c>
      <c r="AK19" s="64">
        <f>AC19*3+AD19</f>
        <v>0</v>
      </c>
      <c r="AL19" s="64">
        <f>AP19/AP23*1000+AQ19/AQ23*100+AT19/AT23*10+AR19/AR23</f>
        <v>0</v>
      </c>
      <c r="AM19" s="64">
        <f>VLOOKUP(AB19,db_fifarank,2,FALSE)/2000000</f>
        <v>7.2999999999999996E-4</v>
      </c>
      <c r="AN19" s="65">
        <f>1000*AK19/AK23+100*AJ19+10*AF19/AF23+1*AL19/AL23+AM19</f>
        <v>7.2999999999999996E-4</v>
      </c>
      <c r="AO19" s="66" t="str">
        <f>IF(SUM(AC19:AE22)=12,L20,INDEX(T,72,lang))</f>
        <v>1B</v>
      </c>
      <c r="AP19" s="67">
        <f>SUMPRODUCT(($U$12:$U$59=AB19&amp;"_win")*($W$12:$W$59))+SUMPRODUCT(($V$12:$V$59=AB19&amp;"_win")*($W$12:$W$59))</f>
        <v>0</v>
      </c>
      <c r="AQ19" s="68">
        <f>SUMPRODUCT(($U$12:$U$59=AB19&amp;"_draw")*($W$12:$W$59))+SUMPRODUCT(($V$12:$V$59=AB19&amp;"_draw")*($W$12:$W$59))</f>
        <v>0</v>
      </c>
      <c r="AR19" s="68">
        <f>SUMPRODUCT(($E$12:$E$59=AB19)*($W$12:$W$59)*($F$12:$F$59))+SUMPRODUCT(($H$12:$H$59=AB19)*($W$12:$W$59)*($G$12:$G$59))</f>
        <v>0</v>
      </c>
      <c r="AS19" s="68">
        <f>SUMPRODUCT(($E$12:$E$59=AB19)*($W$12:$W$59)*($G$12:$G$59))+SUMPRODUCT(($H$12:$H$59=AB19)*($W$12:$W$59)*($F$12:$F$59))</f>
        <v>0</v>
      </c>
      <c r="AT19" s="68">
        <f>AR19-AS19</f>
        <v>0</v>
      </c>
      <c r="AX19" s="83"/>
      <c r="AY19" s="2"/>
      <c r="AZ19" s="2"/>
      <c r="BA19" s="2"/>
      <c r="BB19" s="133">
        <f>'Anketa-2014'!F20</f>
        <v>0</v>
      </c>
      <c r="BC19" s="133">
        <f>'Anketa-2014'!G20</f>
        <v>0</v>
      </c>
      <c r="BD19" s="133">
        <f t="shared" si="21"/>
        <v>0</v>
      </c>
      <c r="BE19" s="133">
        <f t="shared" si="22"/>
        <v>0</v>
      </c>
      <c r="BF19" s="133">
        <f t="shared" si="23"/>
        <v>1</v>
      </c>
      <c r="BG19" s="133">
        <f t="shared" si="24"/>
        <v>1</v>
      </c>
      <c r="BH19" s="133">
        <f t="shared" si="25"/>
        <v>2</v>
      </c>
      <c r="BI19" s="133" t="str">
        <f t="shared" si="26"/>
        <v>1</v>
      </c>
      <c r="BJ19" s="133" t="str">
        <f t="shared" si="27"/>
        <v>1</v>
      </c>
      <c r="BK19" s="133">
        <f t="shared" si="28"/>
        <v>0</v>
      </c>
      <c r="BL19" s="133">
        <f t="shared" si="29"/>
        <v>0</v>
      </c>
      <c r="BM19" s="133" t="str">
        <f t="shared" si="30"/>
        <v>0</v>
      </c>
      <c r="BN19" s="133" t="str">
        <f t="shared" si="31"/>
        <v>0</v>
      </c>
      <c r="BO19" s="133">
        <f t="shared" si="32"/>
        <v>1</v>
      </c>
      <c r="BP19" s="134" t="str">
        <f t="shared" si="33"/>
        <v>1</v>
      </c>
      <c r="BQ19" s="134" t="str">
        <f t="shared" si="34"/>
        <v>1</v>
      </c>
      <c r="BR19" s="134" t="str">
        <f t="shared" si="35"/>
        <v>0</v>
      </c>
    </row>
    <row r="20" spans="1:70" s="69" customFormat="1" x14ac:dyDescent="0.2">
      <c r="A20" s="89">
        <v>9</v>
      </c>
      <c r="B20" s="90" t="str">
        <f t="shared" si="0"/>
        <v>Якш</v>
      </c>
      <c r="C20" s="91" t="str">
        <f t="shared" si="1"/>
        <v>Июнь 15, 2014</v>
      </c>
      <c r="D20" s="92">
        <f t="shared" si="19"/>
        <v>0.875</v>
      </c>
      <c r="E20" s="93" t="str">
        <f>AB37</f>
        <v>Швейцария</v>
      </c>
      <c r="F20" s="54"/>
      <c r="G20" s="55"/>
      <c r="H20" s="100" t="str">
        <f>AB38</f>
        <v>Эквадор</v>
      </c>
      <c r="I20" s="310">
        <f t="shared" si="20"/>
        <v>3</v>
      </c>
      <c r="J20" s="311"/>
      <c r="K20" s="2"/>
      <c r="L20" s="21" t="str">
        <f>VLOOKUP(1,AA19:AK22,2,FALSE)</f>
        <v>Испания</v>
      </c>
      <c r="M20" s="26">
        <f>N20+O20+P20</f>
        <v>0</v>
      </c>
      <c r="N20" s="26">
        <f>VLOOKUP(1,AA19:AK22,3,FALSE)</f>
        <v>0</v>
      </c>
      <c r="O20" s="26">
        <f>VLOOKUP(1,AA19:AK22,4,FALSE)</f>
        <v>0</v>
      </c>
      <c r="P20" s="26">
        <f>VLOOKUP(1,AA19:AK22,5,FALSE)</f>
        <v>0</v>
      </c>
      <c r="Q20" s="26" t="str">
        <f>VLOOKUP(1,AA19:AK22,6,FALSE) &amp; " - " &amp; VLOOKUP(1,AA19:AK22,7,FALSE)</f>
        <v>0 - 0</v>
      </c>
      <c r="R20" s="27">
        <f>N20*3+O20</f>
        <v>0</v>
      </c>
      <c r="S20" s="44"/>
      <c r="T20" s="64">
        <f>DATE(2014,6,15)+TIME(5,0,0)+gmt_delta</f>
        <v>41805.875</v>
      </c>
      <c r="U20" s="70" t="str">
        <f t="shared" si="2"/>
        <v/>
      </c>
      <c r="V20" s="70" t="str">
        <f t="shared" si="3"/>
        <v/>
      </c>
      <c r="W20" s="65">
        <f t="shared" si="4"/>
        <v>0</v>
      </c>
      <c r="X20" s="64">
        <f t="shared" si="5"/>
        <v>0</v>
      </c>
      <c r="Y20" s="64">
        <f t="shared" si="6"/>
        <v>0</v>
      </c>
      <c r="Z20" s="65"/>
      <c r="AA20" s="64">
        <f>COUNTIF(AN19:AN22,CONCATENATE("&gt;=",AN20))</f>
        <v>3</v>
      </c>
      <c r="AB20" s="65" t="str">
        <f>INDEX(T,54,lang)</f>
        <v>Голландия</v>
      </c>
      <c r="AC20" s="64">
        <f>COUNTIF($U$12:$V$59,"=" &amp; AB20 &amp; "_win")</f>
        <v>0</v>
      </c>
      <c r="AD20" s="64">
        <f>COUNTIF($U$12:$V$59,"=" &amp; AB20 &amp; "_draw")</f>
        <v>0</v>
      </c>
      <c r="AE20" s="64">
        <f>COUNTIF($U$12:$V$59,"=" &amp; AB20 &amp; "_lose")</f>
        <v>0</v>
      </c>
      <c r="AF20" s="64">
        <f>SUMIF($E$12:$E$59,$AB20,$F$12:$F$59) + SUMIF($H$12:$H$59,$AB20,$G$12:$G$59)</f>
        <v>0</v>
      </c>
      <c r="AG20" s="64">
        <f>SUMIF($E$12:$E$59,$AB20,$G$12:$G$59) + SUMIF($H$12:$H$59,$AB20,$F$12:$F$59)</f>
        <v>0</v>
      </c>
      <c r="AH20" s="64">
        <f>(AF20-AG20)*100+AK20*10000+AF20</f>
        <v>0</v>
      </c>
      <c r="AI20" s="64">
        <f>AF20-AG20</f>
        <v>0</v>
      </c>
      <c r="AJ20" s="64">
        <f>(AI20-AI24)/AI23</f>
        <v>0</v>
      </c>
      <c r="AK20" s="64">
        <f>AC20*3+AD20</f>
        <v>0</v>
      </c>
      <c r="AL20" s="64">
        <f>AP20/AP23*1000+AQ20/AQ23*100+AT20/AT23*10+AR20/AR23</f>
        <v>0</v>
      </c>
      <c r="AM20" s="64">
        <f>VLOOKUP(AB20,db_fifarank,2,FALSE)/2000000</f>
        <v>4.8349999999999999E-4</v>
      </c>
      <c r="AN20" s="65">
        <f>1000*AK20/AK23+100*AJ20+10*AF20/AF23+1*AL20/AL23+AM20</f>
        <v>4.8349999999999999E-4</v>
      </c>
      <c r="AO20" s="66" t="str">
        <f>IF(SUM(AC19:AE22)=12,L21,INDEX(T,73,lang))</f>
        <v>2B</v>
      </c>
      <c r="AP20" s="67">
        <f>SUMPRODUCT(($U$12:$U$59=AB20&amp;"_win")*($W$12:$W$59))+SUMPRODUCT(($V$12:$V$59=AB20&amp;"_win")*($W$12:$W$59))</f>
        <v>0</v>
      </c>
      <c r="AQ20" s="68">
        <f>SUMPRODUCT(($U$12:$U$59=AB20&amp;"_draw")*($W$12:$W$59))+SUMPRODUCT(($V$12:$V$59=AB20&amp;"_draw")*($W$12:$W$59))</f>
        <v>0</v>
      </c>
      <c r="AR20" s="68">
        <f>SUMPRODUCT(($E$12:$E$59=AB20)*($W$12:$W$59)*($F$12:$F$59))+SUMPRODUCT(($H$12:$H$59=AB20)*($W$12:$W$59)*($G$12:$G$59))</f>
        <v>0</v>
      </c>
      <c r="AS20" s="68">
        <f>SUMPRODUCT(($E$12:$E$59=AB20)*($W$12:$W$59)*($G$12:$G$59))+SUMPRODUCT(($H$12:$H$59=AB20)*($W$12:$W$59)*($F$12:$F$59))</f>
        <v>0</v>
      </c>
      <c r="AT20" s="68">
        <f>AR20-AS20</f>
        <v>0</v>
      </c>
      <c r="AX20" s="83"/>
      <c r="AY20" s="2"/>
      <c r="AZ20" s="2"/>
      <c r="BA20" s="2"/>
      <c r="BB20" s="133">
        <f>'Anketa-2014'!F21</f>
        <v>0</v>
      </c>
      <c r="BC20" s="133">
        <f>'Anketa-2014'!G21</f>
        <v>0</v>
      </c>
      <c r="BD20" s="133">
        <f t="shared" si="21"/>
        <v>0</v>
      </c>
      <c r="BE20" s="133">
        <f t="shared" si="22"/>
        <v>0</v>
      </c>
      <c r="BF20" s="133">
        <f t="shared" si="23"/>
        <v>1</v>
      </c>
      <c r="BG20" s="133">
        <f t="shared" si="24"/>
        <v>1</v>
      </c>
      <c r="BH20" s="133">
        <f t="shared" si="25"/>
        <v>2</v>
      </c>
      <c r="BI20" s="133" t="str">
        <f t="shared" si="26"/>
        <v>1</v>
      </c>
      <c r="BJ20" s="133" t="str">
        <f t="shared" si="27"/>
        <v>1</v>
      </c>
      <c r="BK20" s="133">
        <f t="shared" si="28"/>
        <v>0</v>
      </c>
      <c r="BL20" s="133">
        <f t="shared" si="29"/>
        <v>0</v>
      </c>
      <c r="BM20" s="133" t="str">
        <f t="shared" si="30"/>
        <v>0</v>
      </c>
      <c r="BN20" s="133" t="str">
        <f t="shared" si="31"/>
        <v>0</v>
      </c>
      <c r="BO20" s="133">
        <f t="shared" si="32"/>
        <v>1</v>
      </c>
      <c r="BP20" s="134" t="str">
        <f t="shared" si="33"/>
        <v>1</v>
      </c>
      <c r="BQ20" s="134" t="str">
        <f t="shared" si="34"/>
        <v>1</v>
      </c>
      <c r="BR20" s="134" t="str">
        <f t="shared" si="35"/>
        <v>0</v>
      </c>
    </row>
    <row r="21" spans="1:70" s="69" customFormat="1" x14ac:dyDescent="0.2">
      <c r="A21" s="89">
        <v>10</v>
      </c>
      <c r="B21" s="90" t="str">
        <f t="shared" si="0"/>
        <v>Душ</v>
      </c>
      <c r="C21" s="91" t="str">
        <f t="shared" si="1"/>
        <v>Июнь 16, 2014</v>
      </c>
      <c r="D21" s="92">
        <f t="shared" si="19"/>
        <v>0</v>
      </c>
      <c r="E21" s="93" t="str">
        <f>AB39</f>
        <v>Франция</v>
      </c>
      <c r="F21" s="54"/>
      <c r="G21" s="55"/>
      <c r="H21" s="100" t="str">
        <f>AB40</f>
        <v>Гондурас</v>
      </c>
      <c r="I21" s="310">
        <f t="shared" si="20"/>
        <v>3</v>
      </c>
      <c r="J21" s="311"/>
      <c r="K21" s="2"/>
      <c r="L21" s="22" t="str">
        <f>VLOOKUP(2,AA19:AK22,2,FALSE)</f>
        <v>Чили</v>
      </c>
      <c r="M21" s="28">
        <f>N21+O21+P21</f>
        <v>0</v>
      </c>
      <c r="N21" s="28">
        <f>VLOOKUP(2,AA19:AK22,3,FALSE)</f>
        <v>0</v>
      </c>
      <c r="O21" s="28">
        <f>VLOOKUP(2,AA19:AK22,4,FALSE)</f>
        <v>0</v>
      </c>
      <c r="P21" s="28">
        <f>VLOOKUP(2,AA19:AK22,5,FALSE)</f>
        <v>0</v>
      </c>
      <c r="Q21" s="28" t="str">
        <f>VLOOKUP(2,AA19:AK22,6,FALSE) &amp; " - " &amp; VLOOKUP(2,AA19:AK22,7,FALSE)</f>
        <v>0 - 0</v>
      </c>
      <c r="R21" s="29">
        <f>N21*3+O21</f>
        <v>0</v>
      </c>
      <c r="S21" s="44"/>
      <c r="T21" s="64">
        <f>DATE(2014,6,15)+TIME(8,0,0)+gmt_delta</f>
        <v>41806</v>
      </c>
      <c r="U21" s="70" t="str">
        <f t="shared" si="2"/>
        <v/>
      </c>
      <c r="V21" s="70" t="str">
        <f t="shared" si="3"/>
        <v/>
      </c>
      <c r="W21" s="65">
        <f t="shared" si="4"/>
        <v>0</v>
      </c>
      <c r="X21" s="64">
        <f t="shared" si="5"/>
        <v>0</v>
      </c>
      <c r="Y21" s="64">
        <f t="shared" si="6"/>
        <v>0</v>
      </c>
      <c r="Z21" s="65"/>
      <c r="AA21" s="64">
        <f>COUNTIF(AN19:AN22,CONCATENATE("&gt;=",AN21))</f>
        <v>2</v>
      </c>
      <c r="AB21" s="65" t="str">
        <f>INDEX(T,69,lang)</f>
        <v>Чили</v>
      </c>
      <c r="AC21" s="64">
        <f>COUNTIF($U$12:$V$59,"=" &amp; AB21 &amp; "_win")</f>
        <v>0</v>
      </c>
      <c r="AD21" s="64">
        <f>COUNTIF($U$12:$V$59,"=" &amp; AB21 &amp; "_draw")</f>
        <v>0</v>
      </c>
      <c r="AE21" s="64">
        <f>COUNTIF($U$12:$V$59,"=" &amp; AB21 &amp; "_lose")</f>
        <v>0</v>
      </c>
      <c r="AF21" s="64">
        <f>SUMIF($E$12:$E$59,$AB21,$F$12:$F$59) + SUMIF($H$12:$H$59,$AB21,$G$12:$G$59)</f>
        <v>0</v>
      </c>
      <c r="AG21" s="64">
        <f>SUMIF($E$12:$E$59,$AB21,$G$12:$G$59) + SUMIF($H$12:$H$59,$AB21,$F$12:$F$59)</f>
        <v>0</v>
      </c>
      <c r="AH21" s="64">
        <f>(AF21-AG21)*100+AK21*10000+AF21</f>
        <v>0</v>
      </c>
      <c r="AI21" s="64">
        <f>AF21-AG21</f>
        <v>0</v>
      </c>
      <c r="AJ21" s="64">
        <f>(AI21-AI24)/AI23</f>
        <v>0</v>
      </c>
      <c r="AK21" s="64">
        <f>AC21*3+AD21</f>
        <v>0</v>
      </c>
      <c r="AL21" s="64">
        <f>AP21/AP23*1000+AQ21/AQ23*100+AT21/AT23*10+AR21/AR23</f>
        <v>0</v>
      </c>
      <c r="AM21" s="64">
        <f>VLOOKUP(AB21,db_fifarank,2,FALSE)/2000000</f>
        <v>5.1849999999999997E-4</v>
      </c>
      <c r="AN21" s="65">
        <f>1000*AK21/AK23+100*AJ21+10*AF21/AF23+1*AL21/AL23+AM21</f>
        <v>5.1849999999999997E-4</v>
      </c>
      <c r="AO21" s="66"/>
      <c r="AP21" s="67">
        <f>SUMPRODUCT(($U$12:$U$59=AB21&amp;"_win")*($W$12:$W$59))+SUMPRODUCT(($V$12:$V$59=AB21&amp;"_win")*($W$12:$W$59))</f>
        <v>0</v>
      </c>
      <c r="AQ21" s="68">
        <f>SUMPRODUCT(($U$12:$U$59=AB21&amp;"_draw")*($W$12:$W$59))+SUMPRODUCT(($V$12:$V$59=AB21&amp;"_draw")*($W$12:$W$59))</f>
        <v>0</v>
      </c>
      <c r="AR21" s="68">
        <f>SUMPRODUCT(($E$12:$E$59=AB21)*($W$12:$W$59)*($F$12:$F$59))+SUMPRODUCT(($H$12:$H$59=AB21)*($W$12:$W$59)*($G$12:$G$59))</f>
        <v>0</v>
      </c>
      <c r="AS21" s="68">
        <f>SUMPRODUCT(($E$12:$E$59=AB21)*($W$12:$W$59)*($G$12:$G$59))+SUMPRODUCT(($H$12:$H$59=AB21)*($W$12:$W$59)*($F$12:$F$59))</f>
        <v>0</v>
      </c>
      <c r="AT21" s="68">
        <f>AR21-AS21</f>
        <v>0</v>
      </c>
      <c r="AX21" s="83"/>
      <c r="AY21" s="2"/>
      <c r="AZ21" s="2"/>
      <c r="BA21" s="2"/>
      <c r="BB21" s="133">
        <f>'Anketa-2014'!F22</f>
        <v>0</v>
      </c>
      <c r="BC21" s="133">
        <f>'Anketa-2014'!G22</f>
        <v>0</v>
      </c>
      <c r="BD21" s="133">
        <f t="shared" si="21"/>
        <v>0</v>
      </c>
      <c r="BE21" s="133">
        <f t="shared" si="22"/>
        <v>0</v>
      </c>
      <c r="BF21" s="133">
        <f t="shared" si="23"/>
        <v>1</v>
      </c>
      <c r="BG21" s="133">
        <f t="shared" si="24"/>
        <v>1</v>
      </c>
      <c r="BH21" s="133">
        <f t="shared" si="25"/>
        <v>2</v>
      </c>
      <c r="BI21" s="133" t="str">
        <f t="shared" si="26"/>
        <v>1</v>
      </c>
      <c r="BJ21" s="133" t="str">
        <f t="shared" si="27"/>
        <v>1</v>
      </c>
      <c r="BK21" s="133">
        <f t="shared" si="28"/>
        <v>0</v>
      </c>
      <c r="BL21" s="133">
        <f t="shared" si="29"/>
        <v>0</v>
      </c>
      <c r="BM21" s="133" t="str">
        <f t="shared" si="30"/>
        <v>0</v>
      </c>
      <c r="BN21" s="133" t="str">
        <f t="shared" si="31"/>
        <v>0</v>
      </c>
      <c r="BO21" s="133">
        <f t="shared" si="32"/>
        <v>1</v>
      </c>
      <c r="BP21" s="134" t="str">
        <f t="shared" si="33"/>
        <v>1</v>
      </c>
      <c r="BQ21" s="134" t="str">
        <f t="shared" si="34"/>
        <v>1</v>
      </c>
      <c r="BR21" s="134" t="str">
        <f t="shared" si="35"/>
        <v>0</v>
      </c>
    </row>
    <row r="22" spans="1:70" s="69" customFormat="1" x14ac:dyDescent="0.2">
      <c r="A22" s="89">
        <v>11</v>
      </c>
      <c r="B22" s="90" t="str">
        <f t="shared" si="0"/>
        <v>Душ</v>
      </c>
      <c r="C22" s="91" t="str">
        <f t="shared" si="1"/>
        <v>Июнь 16, 2014</v>
      </c>
      <c r="D22" s="92">
        <f t="shared" si="19"/>
        <v>0.125</v>
      </c>
      <c r="E22" s="93" t="str">
        <f>AB43</f>
        <v>Аргентина</v>
      </c>
      <c r="F22" s="54"/>
      <c r="G22" s="55"/>
      <c r="H22" s="100" t="str">
        <f>AB44</f>
        <v>Босния ва Герцеговина</v>
      </c>
      <c r="I22" s="310">
        <f t="shared" si="20"/>
        <v>3</v>
      </c>
      <c r="J22" s="311"/>
      <c r="K22" s="2"/>
      <c r="L22" s="22" t="str">
        <f>VLOOKUP(3,AA19:AK22,2,FALSE)</f>
        <v>Голландия</v>
      </c>
      <c r="M22" s="28">
        <f>N22+O22+P22</f>
        <v>0</v>
      </c>
      <c r="N22" s="28">
        <f>VLOOKUP(3,AA19:AK22,3,FALSE)</f>
        <v>0</v>
      </c>
      <c r="O22" s="28">
        <f>VLOOKUP(3,AA19:AK22,4,FALSE)</f>
        <v>0</v>
      </c>
      <c r="P22" s="28">
        <f>VLOOKUP(3,AA19:AK22,5,FALSE)</f>
        <v>0</v>
      </c>
      <c r="Q22" s="28" t="str">
        <f>VLOOKUP(3,AA19:AK22,6,FALSE) &amp; " - " &amp; VLOOKUP(3,AA19:AK22,7,FALSE)</f>
        <v>0 - 0</v>
      </c>
      <c r="R22" s="29">
        <f>N22*3+O22</f>
        <v>0</v>
      </c>
      <c r="S22" s="44"/>
      <c r="T22" s="64">
        <f>DATE(2014,6,15)+TIME(11,0,0)+gmt_delta</f>
        <v>41806.125</v>
      </c>
      <c r="U22" s="70" t="str">
        <f t="shared" si="2"/>
        <v/>
      </c>
      <c r="V22" s="70" t="str">
        <f t="shared" si="3"/>
        <v/>
      </c>
      <c r="W22" s="65">
        <f t="shared" si="4"/>
        <v>0</v>
      </c>
      <c r="X22" s="64">
        <f t="shared" si="5"/>
        <v>0</v>
      </c>
      <c r="Y22" s="64">
        <f t="shared" si="6"/>
        <v>0</v>
      </c>
      <c r="Z22" s="65"/>
      <c r="AA22" s="64">
        <f>COUNTIF(AN19:AN22,CONCATENATE("&gt;=",AN22))</f>
        <v>4</v>
      </c>
      <c r="AB22" s="65" t="str">
        <f>INDEX(T,51,lang)</f>
        <v>Австралия</v>
      </c>
      <c r="AC22" s="64">
        <f>COUNTIF($U$12:$V$59,"=" &amp; AB22 &amp; "_win")</f>
        <v>0</v>
      </c>
      <c r="AD22" s="64">
        <f>COUNTIF($U$12:$V$59,"=" &amp; AB22 &amp; "_draw")</f>
        <v>0</v>
      </c>
      <c r="AE22" s="64">
        <f>COUNTIF($U$12:$V$59,"=" &amp; AB22 &amp; "_lose")</f>
        <v>0</v>
      </c>
      <c r="AF22" s="64">
        <f>SUMIF($E$12:$E$59,$AB22,$F$12:$F$59) + SUMIF($H$12:$H$59,$AB22,$G$12:$G$59)</f>
        <v>0</v>
      </c>
      <c r="AG22" s="64">
        <f>SUMIF($E$12:$E$59,$AB22,$G$12:$G$59) + SUMIF($H$12:$H$59,$AB22,$F$12:$F$59)</f>
        <v>0</v>
      </c>
      <c r="AH22" s="64">
        <f>(AF22-AG22)*100+AK22*10000+AF22</f>
        <v>0</v>
      </c>
      <c r="AI22" s="64">
        <f>AF22-AG22</f>
        <v>0</v>
      </c>
      <c r="AJ22" s="64">
        <f>(AI22-AI24)/AI23</f>
        <v>0</v>
      </c>
      <c r="AK22" s="64">
        <f>AC22*3+AD22</f>
        <v>0</v>
      </c>
      <c r="AL22" s="64">
        <f>AP22/AP23*1000+AQ22/AQ23*100+AT22/AT23*10+AR22/AR23</f>
        <v>0</v>
      </c>
      <c r="AM22" s="64">
        <f>VLOOKUP(AB22,db_fifarank,2,FALSE)/2000000</f>
        <v>3.3649999999999999E-4</v>
      </c>
      <c r="AN22" s="65">
        <f>1000*AK22/AK23+100*AJ22+10*AF22/AF23+1*AL22/AL23+AM22</f>
        <v>3.3649999999999999E-4</v>
      </c>
      <c r="AO22" s="66"/>
      <c r="AP22" s="67">
        <f>SUMPRODUCT(($U$12:$U$59=AB22&amp;"_win")*($W$12:$W$59))+SUMPRODUCT(($V$12:$V$59=AB22&amp;"_win")*($W$12:$W$59))</f>
        <v>0</v>
      </c>
      <c r="AQ22" s="68">
        <f>SUMPRODUCT(($U$12:$U$59=AB22&amp;"_draw")*($W$12:$W$59))+SUMPRODUCT(($V$12:$V$59=AB22&amp;"_draw")*($W$12:$W$59))</f>
        <v>0</v>
      </c>
      <c r="AR22" s="68">
        <f>SUMPRODUCT(($E$12:$E$59=AB22)*($W$12:$W$59)*($F$12:$F$59))+SUMPRODUCT(($H$12:$H$59=AB22)*($W$12:$W$59)*($G$12:$G$59))</f>
        <v>0</v>
      </c>
      <c r="AS22" s="68">
        <f>SUMPRODUCT(($E$12:$E$59=AB22)*($W$12:$W$59)*($G$12:$G$59))+SUMPRODUCT(($H$12:$H$59=AB22)*($W$12:$W$59)*($F$12:$F$59))</f>
        <v>0</v>
      </c>
      <c r="AT22" s="68">
        <f>AR22-AS22</f>
        <v>0</v>
      </c>
      <c r="AX22" s="83"/>
      <c r="AY22" s="2"/>
      <c r="AZ22" s="2"/>
      <c r="BA22" s="2"/>
      <c r="BB22" s="133">
        <f>'Anketa-2014'!F23</f>
        <v>0</v>
      </c>
      <c r="BC22" s="133">
        <f>'Anketa-2014'!G23</f>
        <v>0</v>
      </c>
      <c r="BD22" s="133">
        <f t="shared" si="21"/>
        <v>0</v>
      </c>
      <c r="BE22" s="133">
        <f t="shared" si="22"/>
        <v>0</v>
      </c>
      <c r="BF22" s="133">
        <f t="shared" si="23"/>
        <v>1</v>
      </c>
      <c r="BG22" s="133">
        <f t="shared" si="24"/>
        <v>1</v>
      </c>
      <c r="BH22" s="133">
        <f t="shared" si="25"/>
        <v>2</v>
      </c>
      <c r="BI22" s="133" t="str">
        <f t="shared" si="26"/>
        <v>1</v>
      </c>
      <c r="BJ22" s="133" t="str">
        <f t="shared" si="27"/>
        <v>1</v>
      </c>
      <c r="BK22" s="133">
        <f t="shared" si="28"/>
        <v>0</v>
      </c>
      <c r="BL22" s="133">
        <f t="shared" si="29"/>
        <v>0</v>
      </c>
      <c r="BM22" s="133" t="str">
        <f t="shared" si="30"/>
        <v>0</v>
      </c>
      <c r="BN22" s="133" t="str">
        <f t="shared" si="31"/>
        <v>0</v>
      </c>
      <c r="BO22" s="133">
        <f t="shared" si="32"/>
        <v>1</v>
      </c>
      <c r="BP22" s="134" t="str">
        <f t="shared" si="33"/>
        <v>1</v>
      </c>
      <c r="BQ22" s="134" t="str">
        <f t="shared" si="34"/>
        <v>1</v>
      </c>
      <c r="BR22" s="134" t="str">
        <f t="shared" si="35"/>
        <v>0</v>
      </c>
    </row>
    <row r="23" spans="1:70" s="69" customFormat="1" x14ac:dyDescent="0.2">
      <c r="A23" s="89">
        <v>12</v>
      </c>
      <c r="B23" s="90" t="str">
        <f t="shared" si="0"/>
        <v>Душ</v>
      </c>
      <c r="C23" s="91" t="str">
        <f t="shared" si="1"/>
        <v>Июнь 16, 2014</v>
      </c>
      <c r="D23" s="92">
        <f t="shared" si="19"/>
        <v>0.875</v>
      </c>
      <c r="E23" s="93" t="str">
        <f>AB49</f>
        <v>Германия</v>
      </c>
      <c r="F23" s="54"/>
      <c r="G23" s="55"/>
      <c r="H23" s="100" t="str">
        <f>AB50</f>
        <v>Португалия</v>
      </c>
      <c r="I23" s="310">
        <f t="shared" si="20"/>
        <v>3</v>
      </c>
      <c r="J23" s="311"/>
      <c r="K23" s="2"/>
      <c r="L23" s="23" t="str">
        <f>VLOOKUP(4,AA19:AK22,2,FALSE)</f>
        <v>Австралия</v>
      </c>
      <c r="M23" s="30">
        <f>N23+O23+P23</f>
        <v>0</v>
      </c>
      <c r="N23" s="30">
        <f>VLOOKUP(4,AA19:AK22,3,FALSE)</f>
        <v>0</v>
      </c>
      <c r="O23" s="30">
        <f>VLOOKUP(4,AA19:AK22,4,FALSE)</f>
        <v>0</v>
      </c>
      <c r="P23" s="30">
        <f>VLOOKUP(4,AA19:AK22,5,FALSE)</f>
        <v>0</v>
      </c>
      <c r="Q23" s="30" t="str">
        <f>VLOOKUP(4,AA19:AK22,6,FALSE) &amp; " - " &amp; VLOOKUP(4,AA19:AK22,7,FALSE)</f>
        <v>0 - 0</v>
      </c>
      <c r="R23" s="31">
        <f>N23*3+O23</f>
        <v>0</v>
      </c>
      <c r="S23" s="44"/>
      <c r="T23" s="64">
        <f>DATE(2014,6,16)+TIME(5,0,0)+gmt_delta</f>
        <v>41806.875</v>
      </c>
      <c r="U23" s="70" t="str">
        <f t="shared" si="2"/>
        <v/>
      </c>
      <c r="V23" s="70" t="str">
        <f t="shared" si="3"/>
        <v/>
      </c>
      <c r="W23" s="65">
        <f t="shared" si="4"/>
        <v>0</v>
      </c>
      <c r="X23" s="64">
        <f t="shared" si="5"/>
        <v>0</v>
      </c>
      <c r="Y23" s="64">
        <f t="shared" si="6"/>
        <v>0</v>
      </c>
      <c r="Z23" s="65"/>
      <c r="AA23" s="64"/>
      <c r="AB23" s="65"/>
      <c r="AC23" s="64">
        <f t="shared" ref="AC23:AL23" si="37">MAX(AC19:AC22)-MIN(AC19:AC22)+1</f>
        <v>1</v>
      </c>
      <c r="AD23" s="64">
        <f t="shared" si="37"/>
        <v>1</v>
      </c>
      <c r="AE23" s="64">
        <f t="shared" si="37"/>
        <v>1</v>
      </c>
      <c r="AF23" s="64">
        <f t="shared" si="37"/>
        <v>1</v>
      </c>
      <c r="AG23" s="64">
        <f t="shared" si="37"/>
        <v>1</v>
      </c>
      <c r="AH23" s="64">
        <f>MAX(AH19:AH22)-AH24+1</f>
        <v>1</v>
      </c>
      <c r="AI23" s="64">
        <f>MAX(AI19:AI22)-AI24+1</f>
        <v>1</v>
      </c>
      <c r="AJ23" s="64"/>
      <c r="AK23" s="64">
        <f t="shared" si="37"/>
        <v>1</v>
      </c>
      <c r="AL23" s="64">
        <f t="shared" si="37"/>
        <v>1</v>
      </c>
      <c r="AM23" s="65"/>
      <c r="AN23" s="65"/>
      <c r="AO23" s="66"/>
      <c r="AP23" s="64">
        <f>MAX(AP19:AP22)-MIN(AP19:AP22)+1</f>
        <v>1</v>
      </c>
      <c r="AQ23" s="64">
        <f>MAX(AQ19:AQ22)-MIN(AQ19:AQ22)+1</f>
        <v>1</v>
      </c>
      <c r="AR23" s="64">
        <f>MAX(AR19:AR22)-MIN(AR19:AR22)+1</f>
        <v>1</v>
      </c>
      <c r="AS23" s="64">
        <f>MAX(AS19:AS22)-MIN(AS19:AS22)+1</f>
        <v>1</v>
      </c>
      <c r="AT23" s="64">
        <f>MAX(AT19:AT22)-MIN(AT19:AT22)+1</f>
        <v>1</v>
      </c>
      <c r="AX23" s="83"/>
      <c r="AY23" s="2"/>
      <c r="AZ23" s="2"/>
      <c r="BA23" s="2"/>
      <c r="BB23" s="133">
        <f>'Anketa-2014'!F24</f>
        <v>0</v>
      </c>
      <c r="BC23" s="133">
        <f>'Anketa-2014'!G24</f>
        <v>0</v>
      </c>
      <c r="BD23" s="133">
        <f t="shared" si="21"/>
        <v>0</v>
      </c>
      <c r="BE23" s="133">
        <f t="shared" si="22"/>
        <v>0</v>
      </c>
      <c r="BF23" s="133">
        <f t="shared" si="23"/>
        <v>1</v>
      </c>
      <c r="BG23" s="133">
        <f t="shared" si="24"/>
        <v>1</v>
      </c>
      <c r="BH23" s="133">
        <f t="shared" si="25"/>
        <v>2</v>
      </c>
      <c r="BI23" s="133" t="str">
        <f t="shared" si="26"/>
        <v>1</v>
      </c>
      <c r="BJ23" s="133" t="str">
        <f t="shared" si="27"/>
        <v>1</v>
      </c>
      <c r="BK23" s="133">
        <f t="shared" si="28"/>
        <v>0</v>
      </c>
      <c r="BL23" s="133">
        <f t="shared" si="29"/>
        <v>0</v>
      </c>
      <c r="BM23" s="133" t="str">
        <f t="shared" si="30"/>
        <v>0</v>
      </c>
      <c r="BN23" s="133" t="str">
        <f t="shared" si="31"/>
        <v>0</v>
      </c>
      <c r="BO23" s="133">
        <f t="shared" si="32"/>
        <v>1</v>
      </c>
      <c r="BP23" s="134" t="str">
        <f t="shared" si="33"/>
        <v>1</v>
      </c>
      <c r="BQ23" s="134" t="str">
        <f t="shared" si="34"/>
        <v>1</v>
      </c>
      <c r="BR23" s="134" t="str">
        <f t="shared" si="35"/>
        <v>0</v>
      </c>
    </row>
    <row r="24" spans="1:70" s="69" customFormat="1" x14ac:dyDescent="0.2">
      <c r="A24" s="89">
        <v>13</v>
      </c>
      <c r="B24" s="90" t="str">
        <f t="shared" si="0"/>
        <v>Сеш</v>
      </c>
      <c r="C24" s="91" t="str">
        <f t="shared" si="1"/>
        <v>Июнь 17, 2014</v>
      </c>
      <c r="D24" s="92">
        <f t="shared" si="19"/>
        <v>0</v>
      </c>
      <c r="E24" s="93" t="str">
        <f>AB45</f>
        <v>Эрон</v>
      </c>
      <c r="F24" s="54"/>
      <c r="G24" s="55"/>
      <c r="H24" s="100" t="str">
        <f>AB46</f>
        <v>Нигерия</v>
      </c>
      <c r="I24" s="310">
        <f t="shared" si="20"/>
        <v>3</v>
      </c>
      <c r="J24" s="311"/>
      <c r="K24" s="2"/>
      <c r="L24" s="32"/>
      <c r="M24" s="33"/>
      <c r="N24" s="33"/>
      <c r="O24" s="33"/>
      <c r="P24" s="33"/>
      <c r="Q24" s="33"/>
      <c r="R24" s="33"/>
      <c r="S24" s="44"/>
      <c r="T24" s="64">
        <f>DATE(2014,6,16)+TIME(8,0,0)+gmt_delta</f>
        <v>41807</v>
      </c>
      <c r="U24" s="70" t="str">
        <f t="shared" si="2"/>
        <v/>
      </c>
      <c r="V24" s="70" t="str">
        <f t="shared" si="3"/>
        <v/>
      </c>
      <c r="W24" s="65">
        <f t="shared" si="4"/>
        <v>0</v>
      </c>
      <c r="X24" s="64">
        <f t="shared" si="5"/>
        <v>0</v>
      </c>
      <c r="Y24" s="64">
        <f t="shared" si="6"/>
        <v>0</v>
      </c>
      <c r="Z24" s="65"/>
      <c r="AA24" s="64"/>
      <c r="AB24" s="65"/>
      <c r="AC24" s="64"/>
      <c r="AD24" s="64"/>
      <c r="AE24" s="64"/>
      <c r="AF24" s="64"/>
      <c r="AG24" s="64"/>
      <c r="AH24" s="64">
        <f>MIN(AH19:AH22)</f>
        <v>0</v>
      </c>
      <c r="AI24" s="64">
        <f>MIN(AI19:AI22)</f>
        <v>0</v>
      </c>
      <c r="AJ24" s="64"/>
      <c r="AK24" s="64"/>
      <c r="AL24" s="64"/>
      <c r="AM24" s="65"/>
      <c r="AN24" s="65"/>
      <c r="AO24" s="66"/>
      <c r="AP24" s="67"/>
      <c r="AQ24" s="68"/>
      <c r="AR24" s="68"/>
      <c r="AS24" s="68"/>
      <c r="AT24" s="68"/>
      <c r="AX24" s="83"/>
      <c r="AY24" s="2"/>
      <c r="AZ24" s="2"/>
      <c r="BA24" s="2"/>
      <c r="BB24" s="133">
        <f>'Anketa-2014'!F25</f>
        <v>0</v>
      </c>
      <c r="BC24" s="133">
        <f>'Anketa-2014'!G25</f>
        <v>0</v>
      </c>
      <c r="BD24" s="133">
        <f t="shared" si="21"/>
        <v>0</v>
      </c>
      <c r="BE24" s="133">
        <f t="shared" si="22"/>
        <v>0</v>
      </c>
      <c r="BF24" s="133">
        <f t="shared" si="23"/>
        <v>1</v>
      </c>
      <c r="BG24" s="133">
        <f t="shared" si="24"/>
        <v>1</v>
      </c>
      <c r="BH24" s="133">
        <f t="shared" si="25"/>
        <v>2</v>
      </c>
      <c r="BI24" s="133" t="str">
        <f t="shared" si="26"/>
        <v>1</v>
      </c>
      <c r="BJ24" s="133" t="str">
        <f t="shared" si="27"/>
        <v>1</v>
      </c>
      <c r="BK24" s="133">
        <f t="shared" si="28"/>
        <v>0</v>
      </c>
      <c r="BL24" s="133">
        <f t="shared" si="29"/>
        <v>0</v>
      </c>
      <c r="BM24" s="133" t="str">
        <f t="shared" si="30"/>
        <v>0</v>
      </c>
      <c r="BN24" s="133" t="str">
        <f t="shared" si="31"/>
        <v>0</v>
      </c>
      <c r="BO24" s="133">
        <f t="shared" si="32"/>
        <v>1</v>
      </c>
      <c r="BP24" s="134" t="str">
        <f t="shared" si="33"/>
        <v>1</v>
      </c>
      <c r="BQ24" s="134" t="str">
        <f t="shared" si="34"/>
        <v>1</v>
      </c>
      <c r="BR24" s="134" t="str">
        <f t="shared" si="35"/>
        <v>0</v>
      </c>
    </row>
    <row r="25" spans="1:70" s="69" customFormat="1" x14ac:dyDescent="0.2">
      <c r="A25" s="89">
        <v>14</v>
      </c>
      <c r="B25" s="90" t="str">
        <f t="shared" si="0"/>
        <v>Сеш</v>
      </c>
      <c r="C25" s="91" t="str">
        <f t="shared" si="1"/>
        <v>Июнь 17, 2014</v>
      </c>
      <c r="D25" s="92">
        <f t="shared" si="19"/>
        <v>0.125</v>
      </c>
      <c r="E25" s="93" t="str">
        <f>AB51</f>
        <v>Гана</v>
      </c>
      <c r="F25" s="54"/>
      <c r="G25" s="55"/>
      <c r="H25" s="100" t="str">
        <f>AB52</f>
        <v>АҚШ</v>
      </c>
      <c r="I25" s="310">
        <f t="shared" si="20"/>
        <v>3</v>
      </c>
      <c r="J25" s="311"/>
      <c r="K25" s="2"/>
      <c r="L25" s="52" t="str">
        <f>INDEX(T,9,lang) &amp; " " &amp; "C"</f>
        <v>Гуруҳ C</v>
      </c>
      <c r="M25" s="53" t="str">
        <f>INDEX(T,10,lang)</f>
        <v>Ў</v>
      </c>
      <c r="N25" s="53" t="str">
        <f>INDEX(T,11,lang)</f>
        <v>Ю</v>
      </c>
      <c r="O25" s="53" t="str">
        <f>INDEX(T,12,lang)</f>
        <v>Д</v>
      </c>
      <c r="P25" s="53" t="str">
        <f>INDEX(T,13,lang)</f>
        <v>М</v>
      </c>
      <c r="Q25" s="53" t="str">
        <f>INDEX(T,14,lang)</f>
        <v>Тўп. нисб.</v>
      </c>
      <c r="R25" s="53" t="str">
        <f>INDEX(T,15,lang)</f>
        <v>Очколар</v>
      </c>
      <c r="S25" s="44"/>
      <c r="T25" s="64">
        <f>DATE(2014,6,16)+TIME(11,0,0)+gmt_delta</f>
        <v>41807.125</v>
      </c>
      <c r="U25" s="70" t="str">
        <f t="shared" si="2"/>
        <v/>
      </c>
      <c r="V25" s="70" t="str">
        <f t="shared" si="3"/>
        <v/>
      </c>
      <c r="W25" s="65">
        <f t="shared" si="4"/>
        <v>0</v>
      </c>
      <c r="X25" s="64">
        <f t="shared" si="5"/>
        <v>0</v>
      </c>
      <c r="Y25" s="64">
        <f t="shared" si="6"/>
        <v>0</v>
      </c>
      <c r="Z25" s="65"/>
      <c r="AA25" s="64">
        <f>COUNTIF(AN25:AN28,CONCATENATE("&gt;=",AN25))</f>
        <v>1</v>
      </c>
      <c r="AB25" s="65" t="str">
        <f>INDEX(T,52,lang)</f>
        <v>Колумбия</v>
      </c>
      <c r="AC25" s="64">
        <f>COUNTIF($U$12:$V$59,"=" &amp; AB25 &amp; "_win")</f>
        <v>0</v>
      </c>
      <c r="AD25" s="64">
        <f>COUNTIF($U$12:$V$59,"=" &amp; AB25 &amp; "_draw")</f>
        <v>0</v>
      </c>
      <c r="AE25" s="64">
        <f>COUNTIF($U$12:$V$59,"=" &amp; AB25 &amp; "_lose")</f>
        <v>0</v>
      </c>
      <c r="AF25" s="64">
        <f>SUMIF($E$12:$E$59,$AB25,$F$12:$F$59) + SUMIF($H$12:$H$59,$AB25,$G$12:$G$59)</f>
        <v>0</v>
      </c>
      <c r="AG25" s="64">
        <f>SUMIF($E$12:$E$59,$AB25,$G$12:$G$59) + SUMIF($H$12:$H$59,$AB25,$F$12:$F$59)</f>
        <v>0</v>
      </c>
      <c r="AH25" s="64">
        <f>(AF25-AG25)*100+AK25*10000+AF25</f>
        <v>0</v>
      </c>
      <c r="AI25" s="64">
        <f>AF25-AG25</f>
        <v>0</v>
      </c>
      <c r="AJ25" s="64">
        <f>(AI25-AI30)/AI29</f>
        <v>0</v>
      </c>
      <c r="AK25" s="64">
        <f>AC25*3+AD25</f>
        <v>0</v>
      </c>
      <c r="AL25" s="64">
        <f>AP25/AP29*1000+AQ25/AQ29*100+AT25/AT29*10+AR25/AR29</f>
        <v>0</v>
      </c>
      <c r="AM25" s="64">
        <f>VLOOKUP(AB25,db_fifarank,2,FALSE)/2000000</f>
        <v>5.9299999999999999E-4</v>
      </c>
      <c r="AN25" s="65">
        <f>1000*AK25/AK29+100*AJ25+10*AF25/AF29+1*AL25/AL29+AM25</f>
        <v>5.9299999999999999E-4</v>
      </c>
      <c r="AO25" s="66" t="str">
        <f>IF(SUM(AC25:AE28)=12,L26,INDEX(T,74,lang))</f>
        <v>1C</v>
      </c>
      <c r="AP25" s="67">
        <f>SUMPRODUCT(($U$12:$U$59=AB25&amp;"_win")*($W$12:$W$59))+SUMPRODUCT(($V$12:$V$59=AB25&amp;"_win")*($W$12:$W$59))</f>
        <v>0</v>
      </c>
      <c r="AQ25" s="68">
        <f>SUMPRODUCT(($U$12:$U$59=AB25&amp;"_draw")*($W$12:$W$59))+SUMPRODUCT(($V$12:$V$59=AB25&amp;"_draw")*($W$12:$W$59))</f>
        <v>0</v>
      </c>
      <c r="AR25" s="68">
        <f>SUMPRODUCT(($E$12:$E$59=AB25)*($W$12:$W$59)*($F$12:$F$59))+SUMPRODUCT(($H$12:$H$59=AB25)*($W$12:$W$59)*($G$12:$G$59))</f>
        <v>0</v>
      </c>
      <c r="AS25" s="68">
        <f>SUMPRODUCT(($E$12:$E$59=AB25)*($W$12:$W$59)*($G$12:$G$59))+SUMPRODUCT(($H$12:$H$59=AB25)*($W$12:$W$59)*($F$12:$F$59))</f>
        <v>0</v>
      </c>
      <c r="AT25" s="68">
        <f>AR25-AS25</f>
        <v>0</v>
      </c>
      <c r="AX25" s="83"/>
      <c r="AY25" s="2"/>
      <c r="AZ25" s="2"/>
      <c r="BA25" s="2"/>
      <c r="BB25" s="133">
        <f>'Anketa-2014'!F26</f>
        <v>0</v>
      </c>
      <c r="BC25" s="133">
        <f>'Anketa-2014'!G26</f>
        <v>0</v>
      </c>
      <c r="BD25" s="133">
        <f t="shared" si="21"/>
        <v>0</v>
      </c>
      <c r="BE25" s="133">
        <f t="shared" si="22"/>
        <v>0</v>
      </c>
      <c r="BF25" s="133">
        <f t="shared" si="23"/>
        <v>1</v>
      </c>
      <c r="BG25" s="133">
        <f t="shared" si="24"/>
        <v>1</v>
      </c>
      <c r="BH25" s="133">
        <f t="shared" si="25"/>
        <v>2</v>
      </c>
      <c r="BI25" s="133" t="str">
        <f t="shared" si="26"/>
        <v>1</v>
      </c>
      <c r="BJ25" s="133" t="str">
        <f t="shared" si="27"/>
        <v>1</v>
      </c>
      <c r="BK25" s="133">
        <f t="shared" si="28"/>
        <v>0</v>
      </c>
      <c r="BL25" s="133">
        <f t="shared" si="29"/>
        <v>0</v>
      </c>
      <c r="BM25" s="133" t="str">
        <f t="shared" si="30"/>
        <v>0</v>
      </c>
      <c r="BN25" s="133" t="str">
        <f t="shared" si="31"/>
        <v>0</v>
      </c>
      <c r="BO25" s="133">
        <f t="shared" si="32"/>
        <v>1</v>
      </c>
      <c r="BP25" s="134" t="str">
        <f t="shared" si="33"/>
        <v>1</v>
      </c>
      <c r="BQ25" s="134" t="str">
        <f t="shared" si="34"/>
        <v>1</v>
      </c>
      <c r="BR25" s="134" t="str">
        <f t="shared" si="35"/>
        <v>0</v>
      </c>
    </row>
    <row r="26" spans="1:70" s="69" customFormat="1" x14ac:dyDescent="0.2">
      <c r="A26" s="89">
        <v>15</v>
      </c>
      <c r="B26" s="90" t="str">
        <f t="shared" si="0"/>
        <v>Сеш</v>
      </c>
      <c r="C26" s="91" t="str">
        <f t="shared" si="1"/>
        <v>Июнь 17, 2014</v>
      </c>
      <c r="D26" s="92">
        <f t="shared" si="19"/>
        <v>0.875</v>
      </c>
      <c r="E26" s="93" t="str">
        <f>AB55</f>
        <v>Бельгия</v>
      </c>
      <c r="F26" s="54"/>
      <c r="G26" s="55"/>
      <c r="H26" s="100" t="str">
        <f>AB56</f>
        <v>Жазоир</v>
      </c>
      <c r="I26" s="310">
        <f t="shared" si="20"/>
        <v>3</v>
      </c>
      <c r="J26" s="311"/>
      <c r="K26" s="2"/>
      <c r="L26" s="21" t="str">
        <f>VLOOKUP(1,AA25:AK28,2,FALSE)</f>
        <v>Колумбия</v>
      </c>
      <c r="M26" s="26">
        <f>N26+O26+P26</f>
        <v>0</v>
      </c>
      <c r="N26" s="26">
        <f>VLOOKUP(1,AA25:AK28,3,FALSE)</f>
        <v>0</v>
      </c>
      <c r="O26" s="26">
        <f>VLOOKUP(1,AA25:AK28,4,FALSE)</f>
        <v>0</v>
      </c>
      <c r="P26" s="26">
        <f>VLOOKUP(1,AA25:AK28,5,FALSE)</f>
        <v>0</v>
      </c>
      <c r="Q26" s="26" t="str">
        <f>VLOOKUP(1,AA25:AK28,6,FALSE) &amp; " - " &amp; VLOOKUP(1,AA25:AK28,7,FALSE)</f>
        <v>0 - 0</v>
      </c>
      <c r="R26" s="27">
        <f>N26*3+O26</f>
        <v>0</v>
      </c>
      <c r="S26" s="44"/>
      <c r="T26" s="64">
        <f>DATE(2014,6,17)+TIME(5,0,0)+gmt_delta</f>
        <v>41807.875</v>
      </c>
      <c r="U26" s="70" t="str">
        <f t="shared" si="2"/>
        <v/>
      </c>
      <c r="V26" s="70" t="str">
        <f t="shared" si="3"/>
        <v/>
      </c>
      <c r="W26" s="65">
        <f t="shared" si="4"/>
        <v>0</v>
      </c>
      <c r="X26" s="64">
        <f t="shared" si="5"/>
        <v>0</v>
      </c>
      <c r="Y26" s="64">
        <f t="shared" si="6"/>
        <v>0</v>
      </c>
      <c r="Z26" s="65"/>
      <c r="AA26" s="64">
        <f>COUNTIF(AN25:AN28,CONCATENATE("&gt;=",AN26))</f>
        <v>2</v>
      </c>
      <c r="AB26" s="65" t="str">
        <f>INDEX(T,45,lang)</f>
        <v>Греция</v>
      </c>
      <c r="AC26" s="64">
        <f>COUNTIF($U$12:$V$59,"=" &amp; AB26 &amp; "_win")</f>
        <v>0</v>
      </c>
      <c r="AD26" s="64">
        <f>COUNTIF($U$12:$V$59,"=" &amp; AB26 &amp; "_draw")</f>
        <v>0</v>
      </c>
      <c r="AE26" s="64">
        <f>COUNTIF($U$12:$V$59,"=" &amp; AB26 &amp; "_lose")</f>
        <v>0</v>
      </c>
      <c r="AF26" s="64">
        <f>SUMIF($E$12:$E$59,$AB26,$F$12:$F$59) + SUMIF($H$12:$H$59,$AB26,$G$12:$G$59)</f>
        <v>0</v>
      </c>
      <c r="AG26" s="64">
        <f>SUMIF($E$12:$E$59,$AB26,$G$12:$G$59) + SUMIF($H$12:$H$59,$AB26,$F$12:$F$59)</f>
        <v>0</v>
      </c>
      <c r="AH26" s="64">
        <f>(AF26-AG26)*100+AK26*10000+AF26</f>
        <v>0</v>
      </c>
      <c r="AI26" s="64">
        <f>AF26-AG26</f>
        <v>0</v>
      </c>
      <c r="AJ26" s="64">
        <f>(AI26-AI30)/AI29</f>
        <v>0</v>
      </c>
      <c r="AK26" s="64">
        <f>AC26*3+AD26</f>
        <v>0</v>
      </c>
      <c r="AL26" s="64">
        <f>AP26/AP29*1000+AQ26/AQ29*100+AT26/AT29*10+AR26/AR29</f>
        <v>0</v>
      </c>
      <c r="AM26" s="64">
        <f>VLOOKUP(AB26,db_fifarank,2,FALSE)/2000000</f>
        <v>5.4100000000000003E-4</v>
      </c>
      <c r="AN26" s="65">
        <f>1000*AK26/AK29+100*AJ26+10*AF26/AF29+1*AL26/AL29+AM26</f>
        <v>5.4100000000000003E-4</v>
      </c>
      <c r="AO26" s="66" t="str">
        <f>IF(SUM(AC25:AE28)=12,L27,INDEX(T,75,lang))</f>
        <v>2C</v>
      </c>
      <c r="AP26" s="67">
        <f>SUMPRODUCT(($U$12:$U$59=AB26&amp;"_win")*($W$12:$W$59))+SUMPRODUCT(($V$12:$V$59=AB26&amp;"_win")*($W$12:$W$59))</f>
        <v>0</v>
      </c>
      <c r="AQ26" s="68">
        <f>SUMPRODUCT(($U$12:$U$59=AB26&amp;"_draw")*($W$12:$W$59))+SUMPRODUCT(($V$12:$V$59=AB26&amp;"_draw")*($W$12:$W$59))</f>
        <v>0</v>
      </c>
      <c r="AR26" s="68">
        <f>SUMPRODUCT(($E$12:$E$59=AB26)*($W$12:$W$59)*($F$12:$F$59))+SUMPRODUCT(($H$12:$H$59=AB26)*($W$12:$W$59)*($G$12:$G$59))</f>
        <v>0</v>
      </c>
      <c r="AS26" s="68">
        <f>SUMPRODUCT(($E$12:$E$59=AB26)*($W$12:$W$59)*($G$12:$G$59))+SUMPRODUCT(($H$12:$H$59=AB26)*($W$12:$W$59)*($F$12:$F$59))</f>
        <v>0</v>
      </c>
      <c r="AT26" s="68">
        <f>AR26-AS26</f>
        <v>0</v>
      </c>
      <c r="AX26" s="83"/>
      <c r="AY26" s="2"/>
      <c r="AZ26" s="2"/>
      <c r="BA26" s="2"/>
      <c r="BB26" s="133">
        <f>'Anketa-2014'!F27</f>
        <v>0</v>
      </c>
      <c r="BC26" s="133">
        <f>'Anketa-2014'!G27</f>
        <v>0</v>
      </c>
      <c r="BD26" s="133">
        <f t="shared" si="21"/>
        <v>0</v>
      </c>
      <c r="BE26" s="133">
        <f t="shared" si="22"/>
        <v>0</v>
      </c>
      <c r="BF26" s="133">
        <f t="shared" si="23"/>
        <v>1</v>
      </c>
      <c r="BG26" s="133">
        <f t="shared" si="24"/>
        <v>1</v>
      </c>
      <c r="BH26" s="133">
        <f t="shared" si="25"/>
        <v>2</v>
      </c>
      <c r="BI26" s="133" t="str">
        <f t="shared" si="26"/>
        <v>1</v>
      </c>
      <c r="BJ26" s="133" t="str">
        <f t="shared" si="27"/>
        <v>1</v>
      </c>
      <c r="BK26" s="133">
        <f t="shared" si="28"/>
        <v>0</v>
      </c>
      <c r="BL26" s="133">
        <f t="shared" si="29"/>
        <v>0</v>
      </c>
      <c r="BM26" s="133" t="str">
        <f t="shared" si="30"/>
        <v>0</v>
      </c>
      <c r="BN26" s="133" t="str">
        <f t="shared" si="31"/>
        <v>0</v>
      </c>
      <c r="BO26" s="133">
        <f t="shared" si="32"/>
        <v>1</v>
      </c>
      <c r="BP26" s="134" t="str">
        <f t="shared" si="33"/>
        <v>1</v>
      </c>
      <c r="BQ26" s="134" t="str">
        <f t="shared" si="34"/>
        <v>1</v>
      </c>
      <c r="BR26" s="134" t="str">
        <f t="shared" si="35"/>
        <v>0</v>
      </c>
    </row>
    <row r="27" spans="1:70" s="69" customFormat="1" x14ac:dyDescent="0.2">
      <c r="A27" s="89">
        <v>16</v>
      </c>
      <c r="B27" s="90" t="str">
        <f t="shared" si="0"/>
        <v>Чор</v>
      </c>
      <c r="C27" s="91" t="str">
        <f t="shared" si="1"/>
        <v>Июнь 18, 2014</v>
      </c>
      <c r="D27" s="92">
        <f t="shared" si="19"/>
        <v>0</v>
      </c>
      <c r="E27" s="93" t="str">
        <f>AB13</f>
        <v>Бразилия</v>
      </c>
      <c r="F27" s="54"/>
      <c r="G27" s="55"/>
      <c r="H27" s="100" t="str">
        <f>AB15</f>
        <v>Мексика</v>
      </c>
      <c r="I27" s="310">
        <f t="shared" si="20"/>
        <v>3</v>
      </c>
      <c r="J27" s="311"/>
      <c r="K27" s="2"/>
      <c r="L27" s="22" t="str">
        <f>VLOOKUP(2,AA25:AK28,2,FALSE)</f>
        <v>Греция</v>
      </c>
      <c r="M27" s="28">
        <f>N27+O27+P27</f>
        <v>0</v>
      </c>
      <c r="N27" s="28">
        <f>VLOOKUP(2,AA25:AK28,3,FALSE)</f>
        <v>0</v>
      </c>
      <c r="O27" s="28">
        <f>VLOOKUP(2,AA25:AK28,4,FALSE)</f>
        <v>0</v>
      </c>
      <c r="P27" s="28">
        <f>VLOOKUP(2,AA25:AK28,5,FALSE)</f>
        <v>0</v>
      </c>
      <c r="Q27" s="28" t="str">
        <f>VLOOKUP(2,AA25:AK28,6,FALSE) &amp; " - " &amp; VLOOKUP(2,AA25:AK28,7,FALSE)</f>
        <v>0 - 0</v>
      </c>
      <c r="R27" s="29">
        <f>N27*3+O27</f>
        <v>0</v>
      </c>
      <c r="S27" s="44"/>
      <c r="T27" s="64">
        <f>DATE(2014,6,17)+TIME(8,0,0)+gmt_delta</f>
        <v>41808</v>
      </c>
      <c r="U27" s="70" t="str">
        <f t="shared" si="2"/>
        <v/>
      </c>
      <c r="V27" s="70" t="str">
        <f t="shared" si="3"/>
        <v/>
      </c>
      <c r="W27" s="65">
        <f t="shared" si="4"/>
        <v>0</v>
      </c>
      <c r="X27" s="64">
        <f t="shared" si="5"/>
        <v>0</v>
      </c>
      <c r="Y27" s="64">
        <f t="shared" si="6"/>
        <v>0</v>
      </c>
      <c r="Z27" s="65"/>
      <c r="AA27" s="64">
        <f>COUNTIF(AN25:AN28,CONCATENATE("&gt;=",AN27))</f>
        <v>3</v>
      </c>
      <c r="AB27" s="65" t="str">
        <f>INDEX(T,64,lang)</f>
        <v>Кот-д’Ивуар</v>
      </c>
      <c r="AC27" s="64">
        <f>COUNTIF($U$12:$V$59,"=" &amp; AB27 &amp; "_win")</f>
        <v>0</v>
      </c>
      <c r="AD27" s="64">
        <f>COUNTIF($U$12:$V$59,"=" &amp; AB27 &amp; "_draw")</f>
        <v>0</v>
      </c>
      <c r="AE27" s="64">
        <f>COUNTIF($U$12:$V$59,"=" &amp; AB27 &amp; "_lose")</f>
        <v>0</v>
      </c>
      <c r="AF27" s="64">
        <f>SUMIF($E$12:$E$59,$AB27,$F$12:$F$59) + SUMIF($H$12:$H$59,$AB27,$G$12:$G$59)</f>
        <v>0</v>
      </c>
      <c r="AG27" s="64">
        <f>SUMIF($E$12:$E$59,$AB27,$G$12:$G$59) + SUMIF($H$12:$H$59,$AB27,$F$12:$F$59)</f>
        <v>0</v>
      </c>
      <c r="AH27" s="64">
        <f>(AF27-AG27)*100+AK27*10000+AF27</f>
        <v>0</v>
      </c>
      <c r="AI27" s="64">
        <f>AF27-AG27</f>
        <v>0</v>
      </c>
      <c r="AJ27" s="64">
        <f>(AI27-AI30)/AI29</f>
        <v>0</v>
      </c>
      <c r="AK27" s="64">
        <f>AC27*3+AD27</f>
        <v>0</v>
      </c>
      <c r="AL27" s="64">
        <f>AP27/AP29*1000+AQ27/AQ29*100+AT27/AT29*10+AR27/AR29</f>
        <v>0</v>
      </c>
      <c r="AM27" s="64">
        <f>VLOOKUP(AB27,db_fifarank,2,FALSE)/2000000</f>
        <v>4.15E-4</v>
      </c>
      <c r="AN27" s="65">
        <f>1000*AK27/AK29+100*AJ27+10*AF27/AF29+1*AL27/AL29+AM27</f>
        <v>4.15E-4</v>
      </c>
      <c r="AO27" s="66"/>
      <c r="AP27" s="67">
        <f>SUMPRODUCT(($U$12:$U$59=AB27&amp;"_win")*($W$12:$W$59))+SUMPRODUCT(($V$12:$V$59=AB27&amp;"_win")*($W$12:$W$59))</f>
        <v>0</v>
      </c>
      <c r="AQ27" s="68">
        <f>SUMPRODUCT(($U$12:$U$59=AB27&amp;"_draw")*($W$12:$W$59))+SUMPRODUCT(($V$12:$V$59=AB27&amp;"_draw")*($W$12:$W$59))</f>
        <v>0</v>
      </c>
      <c r="AR27" s="68">
        <f>SUMPRODUCT(($E$12:$E$59=AB27)*($W$12:$W$59)*($F$12:$F$59))+SUMPRODUCT(($H$12:$H$59=AB27)*($W$12:$W$59)*($G$12:$G$59))</f>
        <v>0</v>
      </c>
      <c r="AS27" s="68">
        <f>SUMPRODUCT(($E$12:$E$59=AB27)*($W$12:$W$59)*($G$12:$G$59))+SUMPRODUCT(($H$12:$H$59=AB27)*($W$12:$W$59)*($F$12:$F$59))</f>
        <v>0</v>
      </c>
      <c r="AT27" s="68">
        <f>AR27-AS27</f>
        <v>0</v>
      </c>
      <c r="AX27" s="83"/>
      <c r="AY27" s="2"/>
      <c r="AZ27" s="2"/>
      <c r="BA27" s="2"/>
      <c r="BB27" s="133">
        <f>'Anketa-2014'!F28</f>
        <v>0</v>
      </c>
      <c r="BC27" s="133">
        <f>'Anketa-2014'!G28</f>
        <v>0</v>
      </c>
      <c r="BD27" s="133">
        <f t="shared" si="21"/>
        <v>0</v>
      </c>
      <c r="BE27" s="133">
        <f t="shared" si="22"/>
        <v>0</v>
      </c>
      <c r="BF27" s="133">
        <f t="shared" si="23"/>
        <v>1</v>
      </c>
      <c r="BG27" s="133">
        <f t="shared" si="24"/>
        <v>1</v>
      </c>
      <c r="BH27" s="133">
        <f t="shared" si="25"/>
        <v>2</v>
      </c>
      <c r="BI27" s="133" t="str">
        <f t="shared" si="26"/>
        <v>1</v>
      </c>
      <c r="BJ27" s="133" t="str">
        <f t="shared" si="27"/>
        <v>1</v>
      </c>
      <c r="BK27" s="133">
        <f t="shared" si="28"/>
        <v>0</v>
      </c>
      <c r="BL27" s="133">
        <f t="shared" si="29"/>
        <v>0</v>
      </c>
      <c r="BM27" s="133" t="str">
        <f t="shared" si="30"/>
        <v>0</v>
      </c>
      <c r="BN27" s="133" t="str">
        <f t="shared" si="31"/>
        <v>0</v>
      </c>
      <c r="BO27" s="133">
        <f t="shared" si="32"/>
        <v>1</v>
      </c>
      <c r="BP27" s="134" t="str">
        <f t="shared" si="33"/>
        <v>1</v>
      </c>
      <c r="BQ27" s="134" t="str">
        <f t="shared" si="34"/>
        <v>1</v>
      </c>
      <c r="BR27" s="134" t="str">
        <f t="shared" si="35"/>
        <v>0</v>
      </c>
    </row>
    <row r="28" spans="1:70" s="69" customFormat="1" x14ac:dyDescent="0.2">
      <c r="A28" s="89">
        <v>17</v>
      </c>
      <c r="B28" s="90" t="str">
        <f t="shared" si="0"/>
        <v>Чор</v>
      </c>
      <c r="C28" s="91" t="str">
        <f t="shared" si="1"/>
        <v>Июнь 18, 2014</v>
      </c>
      <c r="D28" s="92">
        <f t="shared" si="19"/>
        <v>0.125</v>
      </c>
      <c r="E28" s="93" t="str">
        <f>AB57</f>
        <v>Россия</v>
      </c>
      <c r="F28" s="54"/>
      <c r="G28" s="55"/>
      <c r="H28" s="100" t="str">
        <f>AB58</f>
        <v>Жанубий Корея</v>
      </c>
      <c r="I28" s="310">
        <f t="shared" si="20"/>
        <v>3</v>
      </c>
      <c r="J28" s="311"/>
      <c r="K28" s="2"/>
      <c r="L28" s="22" t="str">
        <f>VLOOKUP(3,AA25:AK28,2,FALSE)</f>
        <v>Кот-д’Ивуар</v>
      </c>
      <c r="M28" s="28">
        <f>N28+O28+P28</f>
        <v>0</v>
      </c>
      <c r="N28" s="28">
        <f>VLOOKUP(3,AA25:AK28,3,FALSE)</f>
        <v>0</v>
      </c>
      <c r="O28" s="28">
        <f>VLOOKUP(3,AA25:AK28,4,FALSE)</f>
        <v>0</v>
      </c>
      <c r="P28" s="28">
        <f>VLOOKUP(3,AA25:AK28,5,FALSE)</f>
        <v>0</v>
      </c>
      <c r="Q28" s="28" t="str">
        <f>VLOOKUP(3,AA25:AK28,6,FALSE) &amp; " - " &amp; VLOOKUP(3,AA25:AK28,7,FALSE)</f>
        <v>0 - 0</v>
      </c>
      <c r="R28" s="29">
        <f>N28*3+O28</f>
        <v>0</v>
      </c>
      <c r="S28" s="44"/>
      <c r="T28" s="64">
        <f>DATE(2014,6,17)+TIME(11,0,0)+gmt_delta</f>
        <v>41808.125</v>
      </c>
      <c r="U28" s="70" t="str">
        <f t="shared" si="2"/>
        <v/>
      </c>
      <c r="V28" s="70" t="str">
        <f t="shared" si="3"/>
        <v/>
      </c>
      <c r="W28" s="65">
        <f t="shared" si="4"/>
        <v>0</v>
      </c>
      <c r="X28" s="64">
        <f t="shared" si="5"/>
        <v>0</v>
      </c>
      <c r="Y28" s="64">
        <f t="shared" si="6"/>
        <v>0</v>
      </c>
      <c r="Z28" s="65"/>
      <c r="AA28" s="64">
        <f>COUNTIF(AN25:AN28,CONCATENATE("&gt;=",AN28))</f>
        <v>4</v>
      </c>
      <c r="AB28" s="65" t="str">
        <f>INDEX(T,56,lang)</f>
        <v>Япония</v>
      </c>
      <c r="AC28" s="64">
        <f>COUNTIF($U$12:$V$59,"=" &amp; AB28 &amp; "_win")</f>
        <v>0</v>
      </c>
      <c r="AD28" s="64">
        <f>COUNTIF($U$12:$V$59,"=" &amp; AB28 &amp; "_draw")</f>
        <v>0</v>
      </c>
      <c r="AE28" s="64">
        <f>COUNTIF($U$12:$V$59,"=" &amp; AB28 &amp; "_lose")</f>
        <v>0</v>
      </c>
      <c r="AF28" s="64">
        <f>SUMIF($E$12:$E$59,$AB28,$F$12:$F$59) + SUMIF($H$12:$H$59,$AB28,$G$12:$G$59)</f>
        <v>0</v>
      </c>
      <c r="AG28" s="64">
        <f>SUMIF($E$12:$E$59,$AB28,$G$12:$G$59) + SUMIF($H$12:$H$59,$AB28,$F$12:$F$59)</f>
        <v>0</v>
      </c>
      <c r="AH28" s="64">
        <f>(AF28-AG28)*100+AK28*10000+AF28</f>
        <v>0</v>
      </c>
      <c r="AI28" s="64">
        <f>AF28-AG28</f>
        <v>0</v>
      </c>
      <c r="AJ28" s="64">
        <f>(AI28-AI30)/AI29</f>
        <v>0</v>
      </c>
      <c r="AK28" s="64">
        <f>AC28*3+AD28</f>
        <v>0</v>
      </c>
      <c r="AL28" s="64">
        <f>AP28/AP29*1000+AQ28/AQ29*100+AT28/AT29*10+AR28/AR29</f>
        <v>0</v>
      </c>
      <c r="AM28" s="64">
        <f>VLOOKUP(AB28,db_fifarank,2,FALSE)/2000000</f>
        <v>3.0650000000000002E-4</v>
      </c>
      <c r="AN28" s="65">
        <f>1000*AK28/AK29+100*AJ28+10*AF28/AF29+1*AL28/AL29+AM28</f>
        <v>3.0650000000000002E-4</v>
      </c>
      <c r="AO28" s="66"/>
      <c r="AP28" s="67">
        <f>SUMPRODUCT(($U$12:$U$59=AB28&amp;"_win")*($W$12:$W$59))+SUMPRODUCT(($V$12:$V$59=AB28&amp;"_win")*($W$12:$W$59))</f>
        <v>0</v>
      </c>
      <c r="AQ28" s="68">
        <f>SUMPRODUCT(($U$12:$U$59=AB28&amp;"_draw")*($W$12:$W$59))+SUMPRODUCT(($V$12:$V$59=AB28&amp;"_draw")*($W$12:$W$59))</f>
        <v>0</v>
      </c>
      <c r="AR28" s="68">
        <f>SUMPRODUCT(($E$12:$E$59=AB28)*($W$12:$W$59)*($F$12:$F$59))+SUMPRODUCT(($H$12:$H$59=AB28)*($W$12:$W$59)*($G$12:$G$59))</f>
        <v>0</v>
      </c>
      <c r="AS28" s="68">
        <f>SUMPRODUCT(($E$12:$E$59=AB28)*($W$12:$W$59)*($G$12:$G$59))+SUMPRODUCT(($H$12:$H$59=AB28)*($W$12:$W$59)*($F$12:$F$59))</f>
        <v>0</v>
      </c>
      <c r="AT28" s="68">
        <f>AR28-AS28</f>
        <v>0</v>
      </c>
      <c r="AX28" s="83"/>
      <c r="AY28" s="2"/>
      <c r="AZ28" s="2"/>
      <c r="BA28" s="2"/>
      <c r="BB28" s="133">
        <f>'Anketa-2014'!F29</f>
        <v>0</v>
      </c>
      <c r="BC28" s="133">
        <f>'Anketa-2014'!G29</f>
        <v>0</v>
      </c>
      <c r="BD28" s="133">
        <f t="shared" si="21"/>
        <v>0</v>
      </c>
      <c r="BE28" s="133">
        <f t="shared" si="22"/>
        <v>0</v>
      </c>
      <c r="BF28" s="133">
        <f t="shared" si="23"/>
        <v>1</v>
      </c>
      <c r="BG28" s="133">
        <f t="shared" si="24"/>
        <v>1</v>
      </c>
      <c r="BH28" s="133">
        <f t="shared" si="25"/>
        <v>2</v>
      </c>
      <c r="BI28" s="133" t="str">
        <f t="shared" si="26"/>
        <v>1</v>
      </c>
      <c r="BJ28" s="133" t="str">
        <f t="shared" si="27"/>
        <v>1</v>
      </c>
      <c r="BK28" s="133">
        <f t="shared" si="28"/>
        <v>0</v>
      </c>
      <c r="BL28" s="133">
        <f t="shared" si="29"/>
        <v>0</v>
      </c>
      <c r="BM28" s="133" t="str">
        <f t="shared" si="30"/>
        <v>0</v>
      </c>
      <c r="BN28" s="133" t="str">
        <f t="shared" si="31"/>
        <v>0</v>
      </c>
      <c r="BO28" s="133">
        <f t="shared" si="32"/>
        <v>1</v>
      </c>
      <c r="BP28" s="134" t="str">
        <f t="shared" si="33"/>
        <v>1</v>
      </c>
      <c r="BQ28" s="134" t="str">
        <f t="shared" si="34"/>
        <v>1</v>
      </c>
      <c r="BR28" s="134" t="str">
        <f t="shared" si="35"/>
        <v>0</v>
      </c>
    </row>
    <row r="29" spans="1:70" s="69" customFormat="1" x14ac:dyDescent="0.2">
      <c r="A29" s="89">
        <v>18</v>
      </c>
      <c r="B29" s="90" t="str">
        <f t="shared" si="0"/>
        <v>Чор</v>
      </c>
      <c r="C29" s="91" t="str">
        <f t="shared" si="1"/>
        <v>Июнь 18, 2014</v>
      </c>
      <c r="D29" s="92">
        <f t="shared" si="19"/>
        <v>0.875</v>
      </c>
      <c r="E29" s="93" t="str">
        <f>AB22</f>
        <v>Австралия</v>
      </c>
      <c r="F29" s="54"/>
      <c r="G29" s="55"/>
      <c r="H29" s="100" t="str">
        <f>AB20</f>
        <v>Голландия</v>
      </c>
      <c r="I29" s="310">
        <f t="shared" si="20"/>
        <v>3</v>
      </c>
      <c r="J29" s="311"/>
      <c r="K29" s="2"/>
      <c r="L29" s="23" t="str">
        <f>VLOOKUP(4,AA25:AK28,2,FALSE)</f>
        <v>Япония</v>
      </c>
      <c r="M29" s="30">
        <f>N29+O29+P29</f>
        <v>0</v>
      </c>
      <c r="N29" s="30">
        <f>VLOOKUP(4,AA25:AK28,3,FALSE)</f>
        <v>0</v>
      </c>
      <c r="O29" s="30">
        <f>VLOOKUP(4,AA25:AK28,4,FALSE)</f>
        <v>0</v>
      </c>
      <c r="P29" s="30">
        <f>VLOOKUP(4,AA25:AK28,5,FALSE)</f>
        <v>0</v>
      </c>
      <c r="Q29" s="30" t="str">
        <f>VLOOKUP(4,AA25:AK28,6,FALSE) &amp; " - " &amp; VLOOKUP(4,AA25:AK28,7,FALSE)</f>
        <v>0 - 0</v>
      </c>
      <c r="R29" s="31">
        <f>N29*3+O29</f>
        <v>0</v>
      </c>
      <c r="S29" s="44"/>
      <c r="T29" s="64">
        <f>DATE(2014,6,18)+TIME(5,0,0)+gmt_delta</f>
        <v>41808.875</v>
      </c>
      <c r="U29" s="70" t="str">
        <f t="shared" si="2"/>
        <v/>
      </c>
      <c r="V29" s="70" t="str">
        <f t="shared" si="3"/>
        <v/>
      </c>
      <c r="W29" s="65">
        <f t="shared" si="4"/>
        <v>0</v>
      </c>
      <c r="X29" s="64">
        <f t="shared" si="5"/>
        <v>0</v>
      </c>
      <c r="Y29" s="64">
        <f t="shared" si="6"/>
        <v>0</v>
      </c>
      <c r="Z29" s="65"/>
      <c r="AA29" s="64"/>
      <c r="AB29" s="65"/>
      <c r="AC29" s="64">
        <f t="shared" ref="AC29:AL29" si="38">MAX(AC25:AC28)-MIN(AC25:AC28)+1</f>
        <v>1</v>
      </c>
      <c r="AD29" s="64">
        <f t="shared" si="38"/>
        <v>1</v>
      </c>
      <c r="AE29" s="64">
        <f t="shared" si="38"/>
        <v>1</v>
      </c>
      <c r="AF29" s="64">
        <f t="shared" si="38"/>
        <v>1</v>
      </c>
      <c r="AG29" s="64">
        <f t="shared" si="38"/>
        <v>1</v>
      </c>
      <c r="AH29" s="64">
        <f>MAX(AH25:AH28)-AH30+1</f>
        <v>1</v>
      </c>
      <c r="AI29" s="64">
        <f>MAX(AI25:AI28)-AI30+1</f>
        <v>1</v>
      </c>
      <c r="AJ29" s="64"/>
      <c r="AK29" s="64">
        <f t="shared" si="38"/>
        <v>1</v>
      </c>
      <c r="AL29" s="64">
        <f t="shared" si="38"/>
        <v>1</v>
      </c>
      <c r="AM29" s="65"/>
      <c r="AN29" s="65"/>
      <c r="AO29" s="66"/>
      <c r="AP29" s="64">
        <f>MAX(AP25:AP28)-MIN(AP25:AP28)+1</f>
        <v>1</v>
      </c>
      <c r="AQ29" s="64">
        <f>MAX(AQ25:AQ28)-MIN(AQ25:AQ28)+1</f>
        <v>1</v>
      </c>
      <c r="AR29" s="64">
        <f>MAX(AR25:AR28)-MIN(AR25:AR28)+1</f>
        <v>1</v>
      </c>
      <c r="AS29" s="64">
        <f>MAX(AS25:AS28)-MIN(AS25:AS28)+1</f>
        <v>1</v>
      </c>
      <c r="AT29" s="64">
        <f>MAX(AT25:AT28)-MIN(AT25:AT28)+1</f>
        <v>1</v>
      </c>
      <c r="AX29" s="83"/>
      <c r="AY29" s="2"/>
      <c r="AZ29" s="2"/>
      <c r="BA29" s="2"/>
      <c r="BB29" s="133">
        <f>'Anketa-2014'!F30</f>
        <v>0</v>
      </c>
      <c r="BC29" s="133">
        <f>'Anketa-2014'!G30</f>
        <v>0</v>
      </c>
      <c r="BD29" s="133">
        <f t="shared" si="21"/>
        <v>0</v>
      </c>
      <c r="BE29" s="133">
        <f t="shared" si="22"/>
        <v>0</v>
      </c>
      <c r="BF29" s="133">
        <f t="shared" si="23"/>
        <v>1</v>
      </c>
      <c r="BG29" s="133">
        <f t="shared" si="24"/>
        <v>1</v>
      </c>
      <c r="BH29" s="133">
        <f t="shared" si="25"/>
        <v>2</v>
      </c>
      <c r="BI29" s="133" t="str">
        <f t="shared" si="26"/>
        <v>1</v>
      </c>
      <c r="BJ29" s="133" t="str">
        <f t="shared" si="27"/>
        <v>1</v>
      </c>
      <c r="BK29" s="133">
        <f t="shared" si="28"/>
        <v>0</v>
      </c>
      <c r="BL29" s="133">
        <f t="shared" si="29"/>
        <v>0</v>
      </c>
      <c r="BM29" s="133" t="str">
        <f t="shared" si="30"/>
        <v>0</v>
      </c>
      <c r="BN29" s="133" t="str">
        <f t="shared" si="31"/>
        <v>0</v>
      </c>
      <c r="BO29" s="133">
        <f t="shared" si="32"/>
        <v>1</v>
      </c>
      <c r="BP29" s="134" t="str">
        <f t="shared" si="33"/>
        <v>1</v>
      </c>
      <c r="BQ29" s="134" t="str">
        <f t="shared" si="34"/>
        <v>1</v>
      </c>
      <c r="BR29" s="134" t="str">
        <f t="shared" si="35"/>
        <v>0</v>
      </c>
    </row>
    <row r="30" spans="1:70" s="69" customFormat="1" x14ac:dyDescent="0.2">
      <c r="A30" s="89">
        <v>19</v>
      </c>
      <c r="B30" s="90" t="str">
        <f t="shared" si="0"/>
        <v>Пай</v>
      </c>
      <c r="C30" s="91" t="str">
        <f t="shared" si="1"/>
        <v>Июнь 19, 2014</v>
      </c>
      <c r="D30" s="92">
        <f t="shared" si="19"/>
        <v>0.125</v>
      </c>
      <c r="E30" s="93" t="str">
        <f>AB16</f>
        <v>Камерун</v>
      </c>
      <c r="F30" s="54"/>
      <c r="G30" s="55"/>
      <c r="H30" s="100" t="str">
        <f>AB14</f>
        <v>Хорватия</v>
      </c>
      <c r="I30" s="310">
        <f t="shared" si="20"/>
        <v>3</v>
      </c>
      <c r="J30" s="311"/>
      <c r="K30" s="2"/>
      <c r="L30" s="32"/>
      <c r="M30" s="33"/>
      <c r="N30" s="33"/>
      <c r="O30" s="33"/>
      <c r="P30" s="33"/>
      <c r="Q30" s="33"/>
      <c r="R30" s="33"/>
      <c r="S30" s="44"/>
      <c r="T30" s="64">
        <f>DATE(2014,6,18)+TIME(11,0,0)+gmt_delta</f>
        <v>41809.125</v>
      </c>
      <c r="U30" s="70" t="str">
        <f t="shared" si="2"/>
        <v/>
      </c>
      <c r="V30" s="70" t="str">
        <f t="shared" si="3"/>
        <v/>
      </c>
      <c r="W30" s="65">
        <f t="shared" si="4"/>
        <v>0</v>
      </c>
      <c r="X30" s="64">
        <f t="shared" si="5"/>
        <v>0</v>
      </c>
      <c r="Y30" s="64">
        <f t="shared" si="6"/>
        <v>0</v>
      </c>
      <c r="Z30" s="65"/>
      <c r="AA30" s="64"/>
      <c r="AB30" s="65"/>
      <c r="AC30" s="64"/>
      <c r="AD30" s="64"/>
      <c r="AE30" s="64"/>
      <c r="AF30" s="64"/>
      <c r="AG30" s="64"/>
      <c r="AH30" s="64">
        <f>MIN(AH25:AH28)</f>
        <v>0</v>
      </c>
      <c r="AI30" s="64">
        <f>MIN(AI25:AI28)</f>
        <v>0</v>
      </c>
      <c r="AJ30" s="64"/>
      <c r="AK30" s="64"/>
      <c r="AL30" s="64"/>
      <c r="AM30" s="65"/>
      <c r="AN30" s="65"/>
      <c r="AO30" s="66"/>
      <c r="AP30" s="67"/>
      <c r="AQ30" s="68"/>
      <c r="AR30" s="68"/>
      <c r="AS30" s="68"/>
      <c r="AT30" s="68"/>
      <c r="AX30" s="83"/>
      <c r="AY30" s="2"/>
      <c r="AZ30" s="2"/>
      <c r="BA30" s="2"/>
      <c r="BB30" s="133">
        <f>'Anketa-2014'!F31</f>
        <v>0</v>
      </c>
      <c r="BC30" s="133">
        <f>'Anketa-2014'!G31</f>
        <v>0</v>
      </c>
      <c r="BD30" s="133">
        <f t="shared" si="21"/>
        <v>0</v>
      </c>
      <c r="BE30" s="133">
        <f t="shared" si="22"/>
        <v>0</v>
      </c>
      <c r="BF30" s="133">
        <f t="shared" si="23"/>
        <v>1</v>
      </c>
      <c r="BG30" s="133">
        <f t="shared" si="24"/>
        <v>1</v>
      </c>
      <c r="BH30" s="133">
        <f t="shared" si="25"/>
        <v>2</v>
      </c>
      <c r="BI30" s="133" t="str">
        <f t="shared" si="26"/>
        <v>1</v>
      </c>
      <c r="BJ30" s="133" t="str">
        <f t="shared" si="27"/>
        <v>1</v>
      </c>
      <c r="BK30" s="133">
        <f t="shared" si="28"/>
        <v>0</v>
      </c>
      <c r="BL30" s="133">
        <f t="shared" si="29"/>
        <v>0</v>
      </c>
      <c r="BM30" s="133" t="str">
        <f t="shared" si="30"/>
        <v>0</v>
      </c>
      <c r="BN30" s="133" t="str">
        <f t="shared" si="31"/>
        <v>0</v>
      </c>
      <c r="BO30" s="133">
        <f t="shared" si="32"/>
        <v>1</v>
      </c>
      <c r="BP30" s="134" t="str">
        <f t="shared" si="33"/>
        <v>1</v>
      </c>
      <c r="BQ30" s="134" t="str">
        <f t="shared" si="34"/>
        <v>1</v>
      </c>
      <c r="BR30" s="134" t="str">
        <f t="shared" si="35"/>
        <v>0</v>
      </c>
    </row>
    <row r="31" spans="1:70" s="69" customFormat="1" x14ac:dyDescent="0.2">
      <c r="A31" s="89">
        <v>20</v>
      </c>
      <c r="B31" s="90" t="str">
        <f t="shared" si="0"/>
        <v>Пай</v>
      </c>
      <c r="C31" s="91" t="str">
        <f t="shared" si="1"/>
        <v>Июнь 19, 2014</v>
      </c>
      <c r="D31" s="92">
        <f t="shared" si="19"/>
        <v>0</v>
      </c>
      <c r="E31" s="93" t="str">
        <f>AB19</f>
        <v>Испания</v>
      </c>
      <c r="F31" s="54"/>
      <c r="G31" s="55"/>
      <c r="H31" s="100" t="str">
        <f>AB21</f>
        <v>Чили</v>
      </c>
      <c r="I31" s="310">
        <f t="shared" si="20"/>
        <v>3</v>
      </c>
      <c r="J31" s="311"/>
      <c r="K31" s="2"/>
      <c r="L31" s="52" t="str">
        <f>INDEX(T,9,lang) &amp; " " &amp; "D"</f>
        <v>Гуруҳ D</v>
      </c>
      <c r="M31" s="53" t="str">
        <f>INDEX(T,10,lang)</f>
        <v>Ў</v>
      </c>
      <c r="N31" s="53" t="str">
        <f>INDEX(T,11,lang)</f>
        <v>Ю</v>
      </c>
      <c r="O31" s="53" t="str">
        <f>INDEX(T,12,lang)</f>
        <v>Д</v>
      </c>
      <c r="P31" s="53" t="str">
        <f>INDEX(T,13,lang)</f>
        <v>М</v>
      </c>
      <c r="Q31" s="53" t="str">
        <f>INDEX(T,14,lang)</f>
        <v>Тўп. нисб.</v>
      </c>
      <c r="R31" s="53" t="str">
        <f>INDEX(T,15,lang)</f>
        <v>Очколар</v>
      </c>
      <c r="S31" s="44"/>
      <c r="T31" s="64">
        <f>DATE(2014,6,18)+TIME(8,0,0)+gmt_delta</f>
        <v>41809</v>
      </c>
      <c r="U31" s="70" t="str">
        <f t="shared" si="2"/>
        <v/>
      </c>
      <c r="V31" s="70" t="str">
        <f t="shared" si="3"/>
        <v/>
      </c>
      <c r="W31" s="65">
        <f t="shared" si="4"/>
        <v>0</v>
      </c>
      <c r="X31" s="64">
        <f t="shared" si="5"/>
        <v>0</v>
      </c>
      <c r="Y31" s="64">
        <f t="shared" si="6"/>
        <v>0</v>
      </c>
      <c r="Z31" s="65"/>
      <c r="AA31" s="64">
        <f>COUNTIF(AN31:AN34,CONCATENATE("&gt;=",AN31))</f>
        <v>1</v>
      </c>
      <c r="AB31" s="65" t="str">
        <f>INDEX(T,40,lang)</f>
        <v>Уругвай</v>
      </c>
      <c r="AC31" s="64">
        <f>COUNTIF($U$12:$V$59,"=" &amp; AB31 &amp; "_win")</f>
        <v>0</v>
      </c>
      <c r="AD31" s="64">
        <f>COUNTIF($U$12:$V$59,"=" &amp; AB31 &amp; "_draw")</f>
        <v>0</v>
      </c>
      <c r="AE31" s="64">
        <f>COUNTIF($U$12:$V$59,"=" &amp; AB31 &amp; "_lose")</f>
        <v>0</v>
      </c>
      <c r="AF31" s="64">
        <f>SUMIF($E$12:$E$59,$AB31,$F$12:$F$59) + SUMIF($H$12:$H$59,$AB31,$G$12:$G$59)</f>
        <v>0</v>
      </c>
      <c r="AG31" s="64">
        <f>SUMIF($E$12:$E$59,$AB31,$G$12:$G$59) + SUMIF($H$12:$H$59,$AB31,$F$12:$F$59)</f>
        <v>0</v>
      </c>
      <c r="AH31" s="64">
        <f>(AF31-AG31)*100+AK31*10000+AF31</f>
        <v>0</v>
      </c>
      <c r="AI31" s="64">
        <f>AF31-AG31</f>
        <v>0</v>
      </c>
      <c r="AJ31" s="64">
        <f>(AI31-AI36)/AI35</f>
        <v>0</v>
      </c>
      <c r="AK31" s="64">
        <f>AC31*3+AD31</f>
        <v>0</v>
      </c>
      <c r="AL31" s="64">
        <f>AP31/AP35*1000+AQ31/AQ35*100+AT31/AT35*10+AR31/AR35</f>
        <v>0</v>
      </c>
      <c r="AM31" s="64">
        <f>VLOOKUP(AB31,db_fifarank,2,FALSE)/2000000</f>
        <v>5.9049999999999999E-4</v>
      </c>
      <c r="AN31" s="65">
        <f>1000*AK31/AK35+100*AJ31+10*AF31/AF35+1*AL31/AL35+AM31</f>
        <v>5.9049999999999999E-4</v>
      </c>
      <c r="AO31" s="66" t="str">
        <f>IF(SUM(AC31:AE34)=12,L32,INDEX(T,76,lang))</f>
        <v>1D</v>
      </c>
      <c r="AP31" s="67">
        <f>SUMPRODUCT(($U$12:$U$59=AB31&amp;"_win")*($W$12:$W$59))+SUMPRODUCT(($V$12:$V$59=AB31&amp;"_win")*($W$12:$W$59))</f>
        <v>0</v>
      </c>
      <c r="AQ31" s="68">
        <f>SUMPRODUCT(($U$12:$U$59=AB31&amp;"_draw")*($W$12:$W$59))+SUMPRODUCT(($V$12:$V$59=AB31&amp;"_draw")*($W$12:$W$59))</f>
        <v>0</v>
      </c>
      <c r="AR31" s="68">
        <f>SUMPRODUCT(($E$12:$E$59=AB31)*($W$12:$W$59)*($F$12:$F$59))+SUMPRODUCT(($H$12:$H$59=AB31)*($W$12:$W$59)*($G$12:$G$59))</f>
        <v>0</v>
      </c>
      <c r="AS31" s="68">
        <f>SUMPRODUCT(($E$12:$E$59=AB31)*($W$12:$W$59)*($G$12:$G$59))+SUMPRODUCT(($H$12:$H$59=AB31)*($W$12:$W$59)*($F$12:$F$59))</f>
        <v>0</v>
      </c>
      <c r="AT31" s="68">
        <f>AR31-AS31</f>
        <v>0</v>
      </c>
      <c r="AX31" s="83"/>
      <c r="AY31" s="2"/>
      <c r="AZ31" s="2"/>
      <c r="BA31" s="2"/>
      <c r="BB31" s="133">
        <f>'Anketa-2014'!F32</f>
        <v>0</v>
      </c>
      <c r="BC31" s="133">
        <f>'Anketa-2014'!G32</f>
        <v>0</v>
      </c>
      <c r="BD31" s="133">
        <f t="shared" si="21"/>
        <v>0</v>
      </c>
      <c r="BE31" s="133">
        <f t="shared" si="22"/>
        <v>0</v>
      </c>
      <c r="BF31" s="133">
        <f t="shared" si="23"/>
        <v>1</v>
      </c>
      <c r="BG31" s="133">
        <f t="shared" si="24"/>
        <v>1</v>
      </c>
      <c r="BH31" s="133">
        <f t="shared" si="25"/>
        <v>2</v>
      </c>
      <c r="BI31" s="133" t="str">
        <f t="shared" si="26"/>
        <v>1</v>
      </c>
      <c r="BJ31" s="133" t="str">
        <f t="shared" si="27"/>
        <v>1</v>
      </c>
      <c r="BK31" s="133">
        <f t="shared" si="28"/>
        <v>0</v>
      </c>
      <c r="BL31" s="133">
        <f t="shared" si="29"/>
        <v>0</v>
      </c>
      <c r="BM31" s="133" t="str">
        <f t="shared" si="30"/>
        <v>0</v>
      </c>
      <c r="BN31" s="133" t="str">
        <f t="shared" si="31"/>
        <v>0</v>
      </c>
      <c r="BO31" s="133">
        <f t="shared" si="32"/>
        <v>1</v>
      </c>
      <c r="BP31" s="134" t="str">
        <f t="shared" si="33"/>
        <v>1</v>
      </c>
      <c r="BQ31" s="134" t="str">
        <f t="shared" si="34"/>
        <v>1</v>
      </c>
      <c r="BR31" s="134" t="str">
        <f t="shared" si="35"/>
        <v>0</v>
      </c>
    </row>
    <row r="32" spans="1:70" s="69" customFormat="1" x14ac:dyDescent="0.2">
      <c r="A32" s="89">
        <v>21</v>
      </c>
      <c r="B32" s="90" t="str">
        <f t="shared" si="0"/>
        <v>Пай</v>
      </c>
      <c r="C32" s="91" t="str">
        <f t="shared" si="1"/>
        <v>Июнь 19, 2014</v>
      </c>
      <c r="D32" s="92">
        <f t="shared" si="19"/>
        <v>0.875</v>
      </c>
      <c r="E32" s="93" t="str">
        <f>AB25</f>
        <v>Колумбия</v>
      </c>
      <c r="F32" s="54"/>
      <c r="G32" s="55"/>
      <c r="H32" s="100" t="str">
        <f>AB27</f>
        <v>Кот-д’Ивуар</v>
      </c>
      <c r="I32" s="310">
        <f t="shared" si="20"/>
        <v>3</v>
      </c>
      <c r="J32" s="311"/>
      <c r="K32" s="2"/>
      <c r="L32" s="21" t="str">
        <f>VLOOKUP(1,AA31:AK34,2,FALSE)</f>
        <v>Уругвай</v>
      </c>
      <c r="M32" s="26">
        <f>N32+O32+P32</f>
        <v>0</v>
      </c>
      <c r="N32" s="26">
        <f>VLOOKUP(1,AA31:AK34,3,FALSE)</f>
        <v>0</v>
      </c>
      <c r="O32" s="26">
        <f>VLOOKUP(1,AA31:AK34,4,FALSE)</f>
        <v>0</v>
      </c>
      <c r="P32" s="26">
        <f>VLOOKUP(1,AA31:AK34,5,FALSE)</f>
        <v>0</v>
      </c>
      <c r="Q32" s="26" t="str">
        <f>VLOOKUP(1,AA31:AK34,6,FALSE) &amp; " - " &amp; VLOOKUP(1,AA31:AK34,7,FALSE)</f>
        <v>0 - 0</v>
      </c>
      <c r="R32" s="27">
        <f>N32*3+O32</f>
        <v>0</v>
      </c>
      <c r="S32" s="44"/>
      <c r="T32" s="64">
        <f>DATE(2014,6,19)+TIME(5,0,0)+gmt_delta</f>
        <v>41809.875</v>
      </c>
      <c r="U32" s="70" t="str">
        <f t="shared" si="2"/>
        <v/>
      </c>
      <c r="V32" s="70" t="str">
        <f t="shared" si="3"/>
        <v/>
      </c>
      <c r="W32" s="65">
        <f t="shared" si="4"/>
        <v>0</v>
      </c>
      <c r="X32" s="64">
        <f t="shared" si="5"/>
        <v>0</v>
      </c>
      <c r="Y32" s="64">
        <f t="shared" si="6"/>
        <v>0</v>
      </c>
      <c r="Z32" s="65"/>
      <c r="AA32" s="64">
        <f>COUNTIF(AN31:AN34,CONCATENATE("&gt;=",AN32))</f>
        <v>4</v>
      </c>
      <c r="AB32" s="65" t="str">
        <f>INDEX(T,55,lang)</f>
        <v>Коста-Рика</v>
      </c>
      <c r="AC32" s="64">
        <f>COUNTIF($U$12:$V$59,"=" &amp; AB32 &amp; "_win")</f>
        <v>0</v>
      </c>
      <c r="AD32" s="64">
        <f>COUNTIF($U$12:$V$59,"=" &amp; AB32 &amp; "_draw")</f>
        <v>0</v>
      </c>
      <c r="AE32" s="64">
        <f>COUNTIF($U$12:$V$59,"=" &amp; AB32 &amp; "_lose")</f>
        <v>0</v>
      </c>
      <c r="AF32" s="64">
        <f>SUMIF($E$12:$E$59,$AB32,$F$12:$F$59) + SUMIF($H$12:$H$59,$AB32,$G$12:$G$59)</f>
        <v>0</v>
      </c>
      <c r="AG32" s="64">
        <f>SUMIF($E$12:$E$59,$AB32,$G$12:$G$59) + SUMIF($H$12:$H$59,$AB32,$F$12:$F$59)</f>
        <v>0</v>
      </c>
      <c r="AH32" s="64">
        <f>(AF32-AG32)*100+AK32*10000+AF32</f>
        <v>0</v>
      </c>
      <c r="AI32" s="64">
        <f>AF32-AG32</f>
        <v>0</v>
      </c>
      <c r="AJ32" s="64">
        <f>(AI32-AI36)/AI35</f>
        <v>0</v>
      </c>
      <c r="AK32" s="64">
        <f>AC32*3+AD32</f>
        <v>0</v>
      </c>
      <c r="AL32" s="64">
        <f>AP32/AP35*1000+AQ32/AQ35*100+AT32/AT35*10+AR32/AR35</f>
        <v>0</v>
      </c>
      <c r="AM32" s="64">
        <f>VLOOKUP(AB32,db_fifarank,2,FALSE)/2000000</f>
        <v>3.7399999999999998E-4</v>
      </c>
      <c r="AN32" s="65">
        <f>1000*AK32/AK35+100*AJ32+10*AF32/AF35+1*AL32/AL35+AM32</f>
        <v>3.7399999999999998E-4</v>
      </c>
      <c r="AO32" s="66" t="str">
        <f>IF(SUM(AC31:AE34)=12,L33,INDEX(T,77,lang))</f>
        <v>2D</v>
      </c>
      <c r="AP32" s="67">
        <f>SUMPRODUCT(($U$12:$U$59=AB32&amp;"_win")*($W$12:$W$59))+SUMPRODUCT(($V$12:$V$59=AB32&amp;"_win")*($W$12:$W$59))</f>
        <v>0</v>
      </c>
      <c r="AQ32" s="68">
        <f>SUMPRODUCT(($U$12:$U$59=AB32&amp;"_draw")*($W$12:$W$59))+SUMPRODUCT(($V$12:$V$59=AB32&amp;"_draw")*($W$12:$W$59))</f>
        <v>0</v>
      </c>
      <c r="AR32" s="68">
        <f>SUMPRODUCT(($E$12:$E$59=AB32)*($W$12:$W$59)*($F$12:$F$59))+SUMPRODUCT(($H$12:$H$59=AB32)*($W$12:$W$59)*($G$12:$G$59))</f>
        <v>0</v>
      </c>
      <c r="AS32" s="68">
        <f>SUMPRODUCT(($E$12:$E$59=AB32)*($W$12:$W$59)*($G$12:$G$59))+SUMPRODUCT(($H$12:$H$59=AB32)*($W$12:$W$59)*($F$12:$F$59))</f>
        <v>0</v>
      </c>
      <c r="AT32" s="68">
        <f>AR32-AS32</f>
        <v>0</v>
      </c>
      <c r="AX32" s="83"/>
      <c r="AY32" s="2"/>
      <c r="AZ32" s="2"/>
      <c r="BA32" s="2"/>
      <c r="BB32" s="133">
        <f>'Anketa-2014'!F33</f>
        <v>0</v>
      </c>
      <c r="BC32" s="133">
        <f>'Anketa-2014'!G33</f>
        <v>0</v>
      </c>
      <c r="BD32" s="133">
        <f t="shared" si="21"/>
        <v>0</v>
      </c>
      <c r="BE32" s="133">
        <f t="shared" si="22"/>
        <v>0</v>
      </c>
      <c r="BF32" s="133">
        <f t="shared" si="23"/>
        <v>1</v>
      </c>
      <c r="BG32" s="133">
        <f t="shared" si="24"/>
        <v>1</v>
      </c>
      <c r="BH32" s="133">
        <f t="shared" si="25"/>
        <v>2</v>
      </c>
      <c r="BI32" s="133" t="str">
        <f t="shared" si="26"/>
        <v>1</v>
      </c>
      <c r="BJ32" s="133" t="str">
        <f t="shared" si="27"/>
        <v>1</v>
      </c>
      <c r="BK32" s="133">
        <f t="shared" si="28"/>
        <v>0</v>
      </c>
      <c r="BL32" s="133">
        <f t="shared" si="29"/>
        <v>0</v>
      </c>
      <c r="BM32" s="133" t="str">
        <f t="shared" si="30"/>
        <v>0</v>
      </c>
      <c r="BN32" s="133" t="str">
        <f t="shared" si="31"/>
        <v>0</v>
      </c>
      <c r="BO32" s="133">
        <f t="shared" si="32"/>
        <v>1</v>
      </c>
      <c r="BP32" s="134" t="str">
        <f t="shared" si="33"/>
        <v>1</v>
      </c>
      <c r="BQ32" s="134" t="str">
        <f t="shared" si="34"/>
        <v>1</v>
      </c>
      <c r="BR32" s="134" t="str">
        <f t="shared" si="35"/>
        <v>0</v>
      </c>
    </row>
    <row r="33" spans="1:70" s="69" customFormat="1" x14ac:dyDescent="0.2">
      <c r="A33" s="89">
        <v>22</v>
      </c>
      <c r="B33" s="90" t="str">
        <f t="shared" si="0"/>
        <v>Жума</v>
      </c>
      <c r="C33" s="91" t="str">
        <f t="shared" si="1"/>
        <v>Июнь 20, 2014</v>
      </c>
      <c r="D33" s="92">
        <f t="shared" si="19"/>
        <v>0</v>
      </c>
      <c r="E33" s="93" t="str">
        <f>AB31</f>
        <v>Уругвай</v>
      </c>
      <c r="F33" s="54"/>
      <c r="G33" s="55"/>
      <c r="H33" s="100" t="str">
        <f>AB33</f>
        <v>Англия</v>
      </c>
      <c r="I33" s="310">
        <f t="shared" si="20"/>
        <v>3</v>
      </c>
      <c r="J33" s="311"/>
      <c r="K33" s="2"/>
      <c r="L33" s="22" t="str">
        <f>VLOOKUP(2,AA31:AK34,2,FALSE)</f>
        <v>Италия</v>
      </c>
      <c r="M33" s="28">
        <f>N33+O33+P33</f>
        <v>0</v>
      </c>
      <c r="N33" s="28">
        <f>VLOOKUP(2,AA31:AK34,3,FALSE)</f>
        <v>0</v>
      </c>
      <c r="O33" s="28">
        <f>VLOOKUP(2,AA31:AK34,4,FALSE)</f>
        <v>0</v>
      </c>
      <c r="P33" s="28">
        <f>VLOOKUP(2,AA31:AK34,5,FALSE)</f>
        <v>0</v>
      </c>
      <c r="Q33" s="28" t="str">
        <f>VLOOKUP(2,AA31:AK34,6,FALSE) &amp; " - " &amp; VLOOKUP(2,AA31:AK34,7,FALSE)</f>
        <v>0 - 0</v>
      </c>
      <c r="R33" s="29">
        <f>N33*3+O33</f>
        <v>0</v>
      </c>
      <c r="S33" s="44"/>
      <c r="T33" s="64">
        <f>DATE(2014,6,19)+TIME(8,0,0)+gmt_delta</f>
        <v>41810</v>
      </c>
      <c r="U33" s="70" t="str">
        <f t="shared" si="2"/>
        <v/>
      </c>
      <c r="V33" s="70" t="str">
        <f t="shared" si="3"/>
        <v/>
      </c>
      <c r="W33" s="65">
        <f t="shared" si="4"/>
        <v>0</v>
      </c>
      <c r="X33" s="64">
        <f t="shared" si="5"/>
        <v>0</v>
      </c>
      <c r="Y33" s="64">
        <f t="shared" si="6"/>
        <v>0</v>
      </c>
      <c r="Z33" s="65"/>
      <c r="AA33" s="64">
        <f>COUNTIF(AN31:AN34,CONCATENATE("&gt;=",AN33))</f>
        <v>3</v>
      </c>
      <c r="AB33" s="65" t="str">
        <f>INDEX(T,46,lang)</f>
        <v>Англия</v>
      </c>
      <c r="AC33" s="64">
        <f>COUNTIF($U$12:$V$59,"=" &amp; AB33 &amp; "_win")</f>
        <v>0</v>
      </c>
      <c r="AD33" s="64">
        <f>COUNTIF($U$12:$V$59,"=" &amp; AB33 &amp; "_draw")</f>
        <v>0</v>
      </c>
      <c r="AE33" s="64">
        <f>COUNTIF($U$12:$V$59,"=" &amp; AB33 &amp; "_lose")</f>
        <v>0</v>
      </c>
      <c r="AF33" s="64">
        <f>SUMIF($E$12:$E$59,$AB33,$F$12:$F$59) + SUMIF($H$12:$H$59,$AB33,$G$12:$G$59)</f>
        <v>0</v>
      </c>
      <c r="AG33" s="64">
        <f>SUMIF($E$12:$E$59,$AB33,$G$12:$G$59) + SUMIF($H$12:$H$59,$AB33,$F$12:$F$59)</f>
        <v>0</v>
      </c>
      <c r="AH33" s="64">
        <f>(AF33-AG33)*100+AK33*10000+AF33</f>
        <v>0</v>
      </c>
      <c r="AI33" s="64">
        <f>AF33-AG33</f>
        <v>0</v>
      </c>
      <c r="AJ33" s="64">
        <f>(AI33-AI36)/AI35</f>
        <v>0</v>
      </c>
      <c r="AK33" s="64">
        <f>AC33*3+AD33</f>
        <v>0</v>
      </c>
      <c r="AL33" s="64">
        <f>AP33/AP35*1000+AQ33/AQ35*100+AT33/AT35*10+AR33/AR35</f>
        <v>0</v>
      </c>
      <c r="AM33" s="64">
        <f>VLOOKUP(AB33,db_fifarank,2,FALSE)/2000000</f>
        <v>5.2150000000000005E-4</v>
      </c>
      <c r="AN33" s="65">
        <f>1000*AK33/AK35+100*AJ33+10*AF33/AF35+1*AL33/AL35+AM33</f>
        <v>5.2150000000000005E-4</v>
      </c>
      <c r="AO33" s="66"/>
      <c r="AP33" s="67">
        <f>SUMPRODUCT(($U$12:$U$59=AB33&amp;"_win")*($W$12:$W$59))+SUMPRODUCT(($V$12:$V$59=AB33&amp;"_win")*($W$12:$W$59))</f>
        <v>0</v>
      </c>
      <c r="AQ33" s="68">
        <f>SUMPRODUCT(($U$12:$U$59=AB33&amp;"_draw")*($W$12:$W$59))+SUMPRODUCT(($V$12:$V$59=AB33&amp;"_draw")*($W$12:$W$59))</f>
        <v>0</v>
      </c>
      <c r="AR33" s="68">
        <f>SUMPRODUCT(($E$12:$E$59=AB33)*($W$12:$W$59)*($F$12:$F$59))+SUMPRODUCT(($H$12:$H$59=AB33)*($W$12:$W$59)*($G$12:$G$59))</f>
        <v>0</v>
      </c>
      <c r="AS33" s="68">
        <f>SUMPRODUCT(($E$12:$E$59=AB33)*($W$12:$W$59)*($G$12:$G$59))+SUMPRODUCT(($H$12:$H$59=AB33)*($W$12:$W$59)*($F$12:$F$59))</f>
        <v>0</v>
      </c>
      <c r="AT33" s="68">
        <f>AR33-AS33</f>
        <v>0</v>
      </c>
      <c r="AX33" s="83"/>
      <c r="AY33" s="2"/>
      <c r="AZ33" s="2"/>
      <c r="BA33" s="2"/>
      <c r="BB33" s="133">
        <f>'Anketa-2014'!F34</f>
        <v>0</v>
      </c>
      <c r="BC33" s="133">
        <f>'Anketa-2014'!G34</f>
        <v>0</v>
      </c>
      <c r="BD33" s="133">
        <f t="shared" si="21"/>
        <v>0</v>
      </c>
      <c r="BE33" s="133">
        <f t="shared" si="22"/>
        <v>0</v>
      </c>
      <c r="BF33" s="133">
        <f t="shared" si="23"/>
        <v>1</v>
      </c>
      <c r="BG33" s="133">
        <f t="shared" si="24"/>
        <v>1</v>
      </c>
      <c r="BH33" s="133">
        <f t="shared" si="25"/>
        <v>2</v>
      </c>
      <c r="BI33" s="133" t="str">
        <f t="shared" si="26"/>
        <v>1</v>
      </c>
      <c r="BJ33" s="133" t="str">
        <f t="shared" si="27"/>
        <v>1</v>
      </c>
      <c r="BK33" s="133">
        <f t="shared" si="28"/>
        <v>0</v>
      </c>
      <c r="BL33" s="133">
        <f t="shared" si="29"/>
        <v>0</v>
      </c>
      <c r="BM33" s="133" t="str">
        <f t="shared" si="30"/>
        <v>0</v>
      </c>
      <c r="BN33" s="133" t="str">
        <f t="shared" si="31"/>
        <v>0</v>
      </c>
      <c r="BO33" s="133">
        <f t="shared" si="32"/>
        <v>1</v>
      </c>
      <c r="BP33" s="134" t="str">
        <f t="shared" si="33"/>
        <v>1</v>
      </c>
      <c r="BQ33" s="134" t="str">
        <f t="shared" si="34"/>
        <v>1</v>
      </c>
      <c r="BR33" s="134" t="str">
        <f t="shared" si="35"/>
        <v>0</v>
      </c>
    </row>
    <row r="34" spans="1:70" s="69" customFormat="1" x14ac:dyDescent="0.2">
      <c r="A34" s="89">
        <v>23</v>
      </c>
      <c r="B34" s="90" t="str">
        <f t="shared" si="0"/>
        <v>Жума</v>
      </c>
      <c r="C34" s="91" t="str">
        <f t="shared" si="1"/>
        <v>Июнь 20, 2014</v>
      </c>
      <c r="D34" s="92">
        <f t="shared" si="19"/>
        <v>0.125</v>
      </c>
      <c r="E34" s="93" t="str">
        <f>AB28</f>
        <v>Япония</v>
      </c>
      <c r="F34" s="54"/>
      <c r="G34" s="55"/>
      <c r="H34" s="100" t="str">
        <f>AB26</f>
        <v>Греция</v>
      </c>
      <c r="I34" s="310">
        <f t="shared" si="20"/>
        <v>3</v>
      </c>
      <c r="J34" s="311"/>
      <c r="K34" s="2"/>
      <c r="L34" s="22" t="str">
        <f>VLOOKUP(3,AA31:AK34,2,FALSE)</f>
        <v>Англия</v>
      </c>
      <c r="M34" s="28">
        <f>N34+O34+P34</f>
        <v>0</v>
      </c>
      <c r="N34" s="28">
        <f>VLOOKUP(3,AA31:AK34,3,FALSE)</f>
        <v>0</v>
      </c>
      <c r="O34" s="28">
        <f>VLOOKUP(3,AA31:AK34,4,FALSE)</f>
        <v>0</v>
      </c>
      <c r="P34" s="28">
        <f>VLOOKUP(3,AA31:AK34,5,FALSE)</f>
        <v>0</v>
      </c>
      <c r="Q34" s="28" t="str">
        <f>VLOOKUP(3,AA31:AK34,6,FALSE) &amp; " - " &amp; VLOOKUP(3,AA31:AK34,7,FALSE)</f>
        <v>0 - 0</v>
      </c>
      <c r="R34" s="29">
        <f>N34*3+O34</f>
        <v>0</v>
      </c>
      <c r="S34" s="44"/>
      <c r="T34" s="64">
        <f>DATE(2014,6,19)+TIME(11,0,0)+gmt_delta</f>
        <v>41810.125</v>
      </c>
      <c r="U34" s="70" t="str">
        <f t="shared" si="2"/>
        <v/>
      </c>
      <c r="V34" s="70" t="str">
        <f t="shared" si="3"/>
        <v/>
      </c>
      <c r="W34" s="65">
        <f t="shared" si="4"/>
        <v>0</v>
      </c>
      <c r="X34" s="64">
        <f t="shared" si="5"/>
        <v>0</v>
      </c>
      <c r="Y34" s="64">
        <f t="shared" si="6"/>
        <v>0</v>
      </c>
      <c r="Z34" s="65"/>
      <c r="AA34" s="64">
        <f>COUNTIF(AN31:AN34,CONCATENATE("&gt;=",AN34))</f>
        <v>2</v>
      </c>
      <c r="AB34" s="65" t="str">
        <f>INDEX(T,58,lang)</f>
        <v>Италия</v>
      </c>
      <c r="AC34" s="64">
        <f>COUNTIF($U$12:$V$59,"=" &amp; AB34 &amp; "_win")</f>
        <v>0</v>
      </c>
      <c r="AD34" s="64">
        <f>COUNTIF($U$12:$V$59,"=" &amp; AB34 &amp; "_draw")</f>
        <v>0</v>
      </c>
      <c r="AE34" s="64">
        <f>COUNTIF($U$12:$V$59,"=" &amp; AB34 &amp; "_lose")</f>
        <v>0</v>
      </c>
      <c r="AF34" s="64">
        <f>SUMIF($E$12:$E$59,$AB34,$F$12:$F$59) + SUMIF($H$12:$H$59,$AB34,$G$12:$G$59)</f>
        <v>0</v>
      </c>
      <c r="AG34" s="64">
        <f>SUMIF($E$12:$E$59,$AB34,$G$12:$G$59) + SUMIF($H$12:$H$59,$AB34,$F$12:$F$59)</f>
        <v>0</v>
      </c>
      <c r="AH34" s="64">
        <f>(AF34-AG34)*100+AK34*10000+AF34</f>
        <v>0</v>
      </c>
      <c r="AI34" s="64">
        <f>AF34-AG34</f>
        <v>0</v>
      </c>
      <c r="AJ34" s="64">
        <f>(AI34-AI36)/AI35</f>
        <v>0</v>
      </c>
      <c r="AK34" s="64">
        <f>AC34*3+AD34</f>
        <v>0</v>
      </c>
      <c r="AL34" s="64">
        <f>AP34/AP35*1000+AQ34/AQ35*100+AT34/AT35*10+AR34/AR35</f>
        <v>0</v>
      </c>
      <c r="AM34" s="64">
        <f>VLOOKUP(AB34,db_fifarank,2,FALSE)/2000000</f>
        <v>5.5750000000000005E-4</v>
      </c>
      <c r="AN34" s="65">
        <f>1000*AK34/AK35+100*AJ34+10*AF34/AF35+1*AL34/AL35+AM34</f>
        <v>5.5750000000000005E-4</v>
      </c>
      <c r="AO34" s="66"/>
      <c r="AP34" s="67">
        <f>SUMPRODUCT(($U$12:$U$59=AB34&amp;"_win")*($W$12:$W$59))+SUMPRODUCT(($V$12:$V$59=AB34&amp;"_win")*($W$12:$W$59))</f>
        <v>0</v>
      </c>
      <c r="AQ34" s="68">
        <f>SUMPRODUCT(($U$12:$U$59=AB34&amp;"_draw")*($W$12:$W$59))+SUMPRODUCT(($V$12:$V$59=AB34&amp;"_draw")*($W$12:$W$59))</f>
        <v>0</v>
      </c>
      <c r="AR34" s="68">
        <f>SUMPRODUCT(($E$12:$E$59=AB34)*($W$12:$W$59)*($F$12:$F$59))+SUMPRODUCT(($H$12:$H$59=AB34)*($W$12:$W$59)*($G$12:$G$59))</f>
        <v>0</v>
      </c>
      <c r="AS34" s="68">
        <f>SUMPRODUCT(($E$12:$E$59=AB34)*($W$12:$W$59)*($G$12:$G$59))+SUMPRODUCT(($H$12:$H$59=AB34)*($W$12:$W$59)*($F$12:$F$59))</f>
        <v>0</v>
      </c>
      <c r="AT34" s="68">
        <f>AR34-AS34</f>
        <v>0</v>
      </c>
      <c r="AX34" s="83"/>
      <c r="AY34" s="2"/>
      <c r="AZ34" s="2"/>
      <c r="BA34" s="2"/>
      <c r="BB34" s="133">
        <f>'Anketa-2014'!F35</f>
        <v>0</v>
      </c>
      <c r="BC34" s="133">
        <f>'Anketa-2014'!G35</f>
        <v>0</v>
      </c>
      <c r="BD34" s="133">
        <f t="shared" si="21"/>
        <v>0</v>
      </c>
      <c r="BE34" s="133">
        <f t="shared" si="22"/>
        <v>0</v>
      </c>
      <c r="BF34" s="133">
        <f t="shared" si="23"/>
        <v>1</v>
      </c>
      <c r="BG34" s="133">
        <f t="shared" si="24"/>
        <v>1</v>
      </c>
      <c r="BH34" s="133">
        <f t="shared" si="25"/>
        <v>2</v>
      </c>
      <c r="BI34" s="133" t="str">
        <f t="shared" si="26"/>
        <v>1</v>
      </c>
      <c r="BJ34" s="133" t="str">
        <f t="shared" si="27"/>
        <v>1</v>
      </c>
      <c r="BK34" s="133">
        <f t="shared" si="28"/>
        <v>0</v>
      </c>
      <c r="BL34" s="133">
        <f t="shared" si="29"/>
        <v>0</v>
      </c>
      <c r="BM34" s="133" t="str">
        <f t="shared" si="30"/>
        <v>0</v>
      </c>
      <c r="BN34" s="133" t="str">
        <f t="shared" si="31"/>
        <v>0</v>
      </c>
      <c r="BO34" s="133">
        <f t="shared" si="32"/>
        <v>1</v>
      </c>
      <c r="BP34" s="134" t="str">
        <f t="shared" si="33"/>
        <v>1</v>
      </c>
      <c r="BQ34" s="134" t="str">
        <f t="shared" si="34"/>
        <v>1</v>
      </c>
      <c r="BR34" s="134" t="str">
        <f t="shared" si="35"/>
        <v>0</v>
      </c>
    </row>
    <row r="35" spans="1:70" s="69" customFormat="1" x14ac:dyDescent="0.2">
      <c r="A35" s="89">
        <v>24</v>
      </c>
      <c r="B35" s="90" t="str">
        <f t="shared" si="0"/>
        <v>Жума</v>
      </c>
      <c r="C35" s="91" t="str">
        <f t="shared" si="1"/>
        <v>Июнь 20, 2014</v>
      </c>
      <c r="D35" s="92">
        <f t="shared" si="19"/>
        <v>0.875</v>
      </c>
      <c r="E35" s="93" t="str">
        <f>AB34</f>
        <v>Италия</v>
      </c>
      <c r="F35" s="54"/>
      <c r="G35" s="55"/>
      <c r="H35" s="100" t="str">
        <f>AB32</f>
        <v>Коста-Рика</v>
      </c>
      <c r="I35" s="310">
        <f t="shared" si="20"/>
        <v>3</v>
      </c>
      <c r="J35" s="311"/>
      <c r="K35" s="2"/>
      <c r="L35" s="23" t="str">
        <f>VLOOKUP(4,AA31:AK34,2,FALSE)</f>
        <v>Коста-Рика</v>
      </c>
      <c r="M35" s="30">
        <f>N35+O35+P35</f>
        <v>0</v>
      </c>
      <c r="N35" s="30">
        <f>VLOOKUP(4,AA31:AK34,3,FALSE)</f>
        <v>0</v>
      </c>
      <c r="O35" s="30">
        <f>VLOOKUP(4,AA31:AK34,4,FALSE)</f>
        <v>0</v>
      </c>
      <c r="P35" s="30">
        <f>VLOOKUP(4,AA31:AK34,5,FALSE)</f>
        <v>0</v>
      </c>
      <c r="Q35" s="30" t="str">
        <f>VLOOKUP(4,AA31:AK34,6,FALSE) &amp; " - " &amp; VLOOKUP(4,AA31:AK34,7,FALSE)</f>
        <v>0 - 0</v>
      </c>
      <c r="R35" s="31">
        <f>N35*3+O35</f>
        <v>0</v>
      </c>
      <c r="S35" s="44"/>
      <c r="T35" s="64">
        <f>DATE(2014,6,20)+TIME(5,0,0)+gmt_delta</f>
        <v>41810.875</v>
      </c>
      <c r="U35" s="70" t="str">
        <f t="shared" si="2"/>
        <v/>
      </c>
      <c r="V35" s="70" t="str">
        <f t="shared" si="3"/>
        <v/>
      </c>
      <c r="W35" s="65">
        <f t="shared" si="4"/>
        <v>0</v>
      </c>
      <c r="X35" s="64">
        <f t="shared" si="5"/>
        <v>0</v>
      </c>
      <c r="Y35" s="64">
        <f t="shared" si="6"/>
        <v>0</v>
      </c>
      <c r="Z35" s="65"/>
      <c r="AA35" s="64"/>
      <c r="AB35" s="65"/>
      <c r="AC35" s="64">
        <f t="shared" ref="AC35:AL35" si="39">MAX(AC31:AC34)-MIN(AC31:AC34)+1</f>
        <v>1</v>
      </c>
      <c r="AD35" s="64">
        <f t="shared" si="39"/>
        <v>1</v>
      </c>
      <c r="AE35" s="64">
        <f t="shared" si="39"/>
        <v>1</v>
      </c>
      <c r="AF35" s="64">
        <f t="shared" si="39"/>
        <v>1</v>
      </c>
      <c r="AG35" s="64">
        <f t="shared" si="39"/>
        <v>1</v>
      </c>
      <c r="AH35" s="64">
        <f>MAX(AH31:AH34)-AH36+1</f>
        <v>1</v>
      </c>
      <c r="AI35" s="64">
        <f>MAX(AI31:AI34)-AI36+1</f>
        <v>1</v>
      </c>
      <c r="AJ35" s="64"/>
      <c r="AK35" s="64">
        <f t="shared" si="39"/>
        <v>1</v>
      </c>
      <c r="AL35" s="64">
        <f t="shared" si="39"/>
        <v>1</v>
      </c>
      <c r="AM35" s="65"/>
      <c r="AN35" s="65"/>
      <c r="AO35" s="66"/>
      <c r="AP35" s="64">
        <f>MAX(AP31:AP34)-MIN(AP31:AP34)+1</f>
        <v>1</v>
      </c>
      <c r="AQ35" s="64">
        <f>MAX(AQ31:AQ34)-MIN(AQ31:AQ34)+1</f>
        <v>1</v>
      </c>
      <c r="AR35" s="64">
        <f>MAX(AR31:AR34)-MIN(AR31:AR34)+1</f>
        <v>1</v>
      </c>
      <c r="AS35" s="64">
        <f>MAX(AS31:AS34)-MIN(AS31:AS34)+1</f>
        <v>1</v>
      </c>
      <c r="AT35" s="64">
        <f>MAX(AT31:AT34)-MIN(AT31:AT34)+1</f>
        <v>1</v>
      </c>
      <c r="AX35" s="83"/>
      <c r="AY35" s="2"/>
      <c r="AZ35" s="2"/>
      <c r="BA35" s="2"/>
      <c r="BB35" s="133">
        <f>'Anketa-2014'!F36</f>
        <v>0</v>
      </c>
      <c r="BC35" s="133">
        <f>'Anketa-2014'!G36</f>
        <v>0</v>
      </c>
      <c r="BD35" s="133">
        <f t="shared" si="21"/>
        <v>0</v>
      </c>
      <c r="BE35" s="133">
        <f t="shared" si="22"/>
        <v>0</v>
      </c>
      <c r="BF35" s="133">
        <f t="shared" si="23"/>
        <v>1</v>
      </c>
      <c r="BG35" s="133">
        <f t="shared" si="24"/>
        <v>1</v>
      </c>
      <c r="BH35" s="133">
        <f t="shared" si="25"/>
        <v>2</v>
      </c>
      <c r="BI35" s="133" t="str">
        <f t="shared" si="26"/>
        <v>1</v>
      </c>
      <c r="BJ35" s="133" t="str">
        <f t="shared" si="27"/>
        <v>1</v>
      </c>
      <c r="BK35" s="133">
        <f t="shared" si="28"/>
        <v>0</v>
      </c>
      <c r="BL35" s="133">
        <f t="shared" si="29"/>
        <v>0</v>
      </c>
      <c r="BM35" s="133" t="str">
        <f t="shared" si="30"/>
        <v>0</v>
      </c>
      <c r="BN35" s="133" t="str">
        <f t="shared" si="31"/>
        <v>0</v>
      </c>
      <c r="BO35" s="133">
        <f t="shared" si="32"/>
        <v>1</v>
      </c>
      <c r="BP35" s="134" t="str">
        <f t="shared" si="33"/>
        <v>1</v>
      </c>
      <c r="BQ35" s="134" t="str">
        <f t="shared" si="34"/>
        <v>1</v>
      </c>
      <c r="BR35" s="134" t="str">
        <f t="shared" si="35"/>
        <v>0</v>
      </c>
    </row>
    <row r="36" spans="1:70" s="69" customFormat="1" x14ac:dyDescent="0.2">
      <c r="A36" s="89">
        <v>25</v>
      </c>
      <c r="B36" s="90" t="str">
        <f t="shared" si="0"/>
        <v>Шанба</v>
      </c>
      <c r="C36" s="91" t="str">
        <f t="shared" si="1"/>
        <v>Июнь 21, 2014</v>
      </c>
      <c r="D36" s="92">
        <f t="shared" si="19"/>
        <v>0</v>
      </c>
      <c r="E36" s="93" t="str">
        <f>AB37</f>
        <v>Швейцария</v>
      </c>
      <c r="F36" s="54"/>
      <c r="G36" s="55"/>
      <c r="H36" s="100" t="str">
        <f>AB39</f>
        <v>Франция</v>
      </c>
      <c r="I36" s="310">
        <f t="shared" si="20"/>
        <v>3</v>
      </c>
      <c r="J36" s="311"/>
      <c r="K36" s="2"/>
      <c r="L36" s="24"/>
      <c r="M36" s="25"/>
      <c r="N36" s="25"/>
      <c r="O36" s="25"/>
      <c r="P36" s="25"/>
      <c r="Q36" s="25"/>
      <c r="R36" s="25"/>
      <c r="S36" s="44"/>
      <c r="T36" s="64">
        <f>DATE(2014,6,20)+TIME(8,0,0)+gmt_delta</f>
        <v>41811</v>
      </c>
      <c r="U36" s="70" t="str">
        <f t="shared" si="2"/>
        <v/>
      </c>
      <c r="V36" s="70" t="str">
        <f t="shared" si="3"/>
        <v/>
      </c>
      <c r="W36" s="65">
        <f t="shared" si="4"/>
        <v>0</v>
      </c>
      <c r="X36" s="64">
        <f t="shared" si="5"/>
        <v>0</v>
      </c>
      <c r="Y36" s="64">
        <f t="shared" si="6"/>
        <v>0</v>
      </c>
      <c r="Z36" s="65"/>
      <c r="AA36" s="64"/>
      <c r="AB36" s="65"/>
      <c r="AC36" s="64"/>
      <c r="AD36" s="64"/>
      <c r="AE36" s="64"/>
      <c r="AF36" s="64"/>
      <c r="AG36" s="64"/>
      <c r="AH36" s="64">
        <f>MIN(AH31:AH34)</f>
        <v>0</v>
      </c>
      <c r="AI36" s="64">
        <f>MIN(AI31:AI34)</f>
        <v>0</v>
      </c>
      <c r="AJ36" s="64"/>
      <c r="AK36" s="64"/>
      <c r="AL36" s="64"/>
      <c r="AM36" s="65"/>
      <c r="AN36" s="65"/>
      <c r="AO36" s="66"/>
      <c r="AP36" s="67"/>
      <c r="AQ36" s="68"/>
      <c r="AR36" s="68"/>
      <c r="AS36" s="68"/>
      <c r="AT36" s="68"/>
      <c r="AX36" s="83"/>
      <c r="AY36" s="2"/>
      <c r="AZ36" s="2"/>
      <c r="BA36" s="2"/>
      <c r="BB36" s="133">
        <f>'Anketa-2014'!F37</f>
        <v>0</v>
      </c>
      <c r="BC36" s="133">
        <f>'Anketa-2014'!G37</f>
        <v>0</v>
      </c>
      <c r="BD36" s="133">
        <f t="shared" si="21"/>
        <v>0</v>
      </c>
      <c r="BE36" s="133">
        <f t="shared" si="22"/>
        <v>0</v>
      </c>
      <c r="BF36" s="133">
        <f t="shared" si="23"/>
        <v>1</v>
      </c>
      <c r="BG36" s="133">
        <f t="shared" si="24"/>
        <v>1</v>
      </c>
      <c r="BH36" s="133">
        <f t="shared" si="25"/>
        <v>2</v>
      </c>
      <c r="BI36" s="133" t="str">
        <f t="shared" si="26"/>
        <v>1</v>
      </c>
      <c r="BJ36" s="133" t="str">
        <f t="shared" si="27"/>
        <v>1</v>
      </c>
      <c r="BK36" s="133">
        <f t="shared" si="28"/>
        <v>0</v>
      </c>
      <c r="BL36" s="133">
        <f t="shared" si="29"/>
        <v>0</v>
      </c>
      <c r="BM36" s="133" t="str">
        <f t="shared" si="30"/>
        <v>0</v>
      </c>
      <c r="BN36" s="133" t="str">
        <f t="shared" si="31"/>
        <v>0</v>
      </c>
      <c r="BO36" s="133">
        <f t="shared" si="32"/>
        <v>1</v>
      </c>
      <c r="BP36" s="134" t="str">
        <f t="shared" si="33"/>
        <v>1</v>
      </c>
      <c r="BQ36" s="134" t="str">
        <f t="shared" si="34"/>
        <v>1</v>
      </c>
      <c r="BR36" s="134" t="str">
        <f t="shared" si="35"/>
        <v>0</v>
      </c>
    </row>
    <row r="37" spans="1:70" s="69" customFormat="1" x14ac:dyDescent="0.2">
      <c r="A37" s="89">
        <v>26</v>
      </c>
      <c r="B37" s="90" t="str">
        <f t="shared" si="0"/>
        <v>Шанба</v>
      </c>
      <c r="C37" s="91" t="str">
        <f t="shared" si="1"/>
        <v>Июнь 21, 2014</v>
      </c>
      <c r="D37" s="92">
        <f t="shared" si="19"/>
        <v>0.125</v>
      </c>
      <c r="E37" s="93" t="str">
        <f>AB40</f>
        <v>Гондурас</v>
      </c>
      <c r="F37" s="54"/>
      <c r="G37" s="55"/>
      <c r="H37" s="100" t="str">
        <f>AB38</f>
        <v>Эквадор</v>
      </c>
      <c r="I37" s="310">
        <f t="shared" si="20"/>
        <v>3</v>
      </c>
      <c r="J37" s="311"/>
      <c r="K37" s="2"/>
      <c r="L37" s="52" t="str">
        <f>INDEX(T,9,lang) &amp; " " &amp; "E"</f>
        <v>Гуруҳ E</v>
      </c>
      <c r="M37" s="53" t="str">
        <f>INDEX(T,10,lang)</f>
        <v>Ў</v>
      </c>
      <c r="N37" s="53" t="str">
        <f>INDEX(T,11,lang)</f>
        <v>Ю</v>
      </c>
      <c r="O37" s="53" t="str">
        <f>INDEX(T,12,lang)</f>
        <v>Д</v>
      </c>
      <c r="P37" s="53" t="str">
        <f>INDEX(T,13,lang)</f>
        <v>М</v>
      </c>
      <c r="Q37" s="53" t="str">
        <f>INDEX(T,14,lang)</f>
        <v>Тўп. нисб.</v>
      </c>
      <c r="R37" s="53" t="str">
        <f>INDEX(T,15,lang)</f>
        <v>Очколар</v>
      </c>
      <c r="S37" s="44"/>
      <c r="T37" s="64">
        <f>DATE(2014,6,20)+TIME(11,0,0)+gmt_delta</f>
        <v>41811.125</v>
      </c>
      <c r="U37" s="70" t="str">
        <f t="shared" si="2"/>
        <v/>
      </c>
      <c r="V37" s="70" t="str">
        <f t="shared" si="3"/>
        <v/>
      </c>
      <c r="W37" s="65">
        <f t="shared" si="4"/>
        <v>0</v>
      </c>
      <c r="X37" s="64">
        <f t="shared" si="5"/>
        <v>0</v>
      </c>
      <c r="Y37" s="64">
        <f t="shared" si="6"/>
        <v>0</v>
      </c>
      <c r="Z37" s="65"/>
      <c r="AA37" s="64">
        <f>COUNTIF(AN37:AN40,CONCATENATE("&gt;=",AN37))</f>
        <v>1</v>
      </c>
      <c r="AB37" s="65" t="str">
        <f>INDEX(T,67,lang)</f>
        <v>Швейцария</v>
      </c>
      <c r="AC37" s="64">
        <f>COUNTIF($U$12:$V$59,"=" &amp; AB37 &amp; "_win")</f>
        <v>0</v>
      </c>
      <c r="AD37" s="64">
        <f>COUNTIF($U$12:$V$59,"=" &amp; AB37 &amp; "_draw")</f>
        <v>0</v>
      </c>
      <c r="AE37" s="64">
        <f>COUNTIF($U$12:$V$59,"=" &amp; AB37 &amp; "_lose")</f>
        <v>0</v>
      </c>
      <c r="AF37" s="64">
        <f>SUMIF($E$12:$E$59,$AB37,$F$12:$F$59) + SUMIF($H$12:$H$59,$AB37,$G$12:$G$59)</f>
        <v>0</v>
      </c>
      <c r="AG37" s="64">
        <f>SUMIF($E$12:$E$59,$AB37,$G$12:$G$59) + SUMIF($H$12:$H$59,$AB37,$F$12:$F$59)</f>
        <v>0</v>
      </c>
      <c r="AH37" s="64">
        <f>(AF37-AG37)*100+AK37*10000+AF37</f>
        <v>0</v>
      </c>
      <c r="AI37" s="64">
        <f>AF37-AG37</f>
        <v>0</v>
      </c>
      <c r="AJ37" s="64">
        <f>(AI37-AI42)/AI41</f>
        <v>0</v>
      </c>
      <c r="AK37" s="64">
        <f>AC37*3+AD37</f>
        <v>0</v>
      </c>
      <c r="AL37" s="64">
        <f>AP37/AP41*1000+AQ37/AQ41*100+AT37/AT41*10+AR37/AR41</f>
        <v>0</v>
      </c>
      <c r="AM37" s="64">
        <f>VLOOKUP(AB37,db_fifarank,2,FALSE)/2000000</f>
        <v>5.8049999999999996E-4</v>
      </c>
      <c r="AN37" s="65">
        <f>1000*AK37/AK41+100*AJ37+10*AF37/AF41+1*AL37/AL41+AM37</f>
        <v>5.8049999999999996E-4</v>
      </c>
      <c r="AO37" s="66" t="str">
        <f>IF(SUM(AC37:AE40)=12,L38,INDEX(T,78,lang))</f>
        <v>1E</v>
      </c>
      <c r="AP37" s="67">
        <f>SUMPRODUCT(($U$12:$U$59=AB37&amp;"_win")*($W$12:$W$59))+SUMPRODUCT(($V$12:$V$59=AB37&amp;"_win")*($W$12:$W$59))</f>
        <v>0</v>
      </c>
      <c r="AQ37" s="68">
        <f>SUMPRODUCT(($U$12:$U$59=AB37&amp;"_draw")*($W$12:$W$59))+SUMPRODUCT(($V$12:$V$59=AB37&amp;"_draw")*($W$12:$W$59))</f>
        <v>0</v>
      </c>
      <c r="AR37" s="68">
        <f>SUMPRODUCT(($E$12:$E$59=AB37)*($W$12:$W$59)*($F$12:$F$59))+SUMPRODUCT(($H$12:$H$59=AB37)*($W$12:$W$59)*($G$12:$G$59))</f>
        <v>0</v>
      </c>
      <c r="AS37" s="68">
        <f>SUMPRODUCT(($E$12:$E$59=AB37)*($W$12:$W$59)*($G$12:$G$59))+SUMPRODUCT(($H$12:$H$59=AB37)*($W$12:$W$59)*($F$12:$F$59))</f>
        <v>0</v>
      </c>
      <c r="AT37" s="68">
        <f>AR37-AS37</f>
        <v>0</v>
      </c>
      <c r="AX37" s="83"/>
      <c r="AY37" s="2"/>
      <c r="AZ37" s="2"/>
      <c r="BA37" s="2"/>
      <c r="BB37" s="133">
        <f>'Anketa-2014'!F38</f>
        <v>0</v>
      </c>
      <c r="BC37" s="133">
        <f>'Anketa-2014'!G38</f>
        <v>0</v>
      </c>
      <c r="BD37" s="133">
        <f t="shared" si="21"/>
        <v>0</v>
      </c>
      <c r="BE37" s="133">
        <f t="shared" si="22"/>
        <v>0</v>
      </c>
      <c r="BF37" s="133">
        <f t="shared" si="23"/>
        <v>1</v>
      </c>
      <c r="BG37" s="133">
        <f t="shared" si="24"/>
        <v>1</v>
      </c>
      <c r="BH37" s="133">
        <f t="shared" si="25"/>
        <v>2</v>
      </c>
      <c r="BI37" s="133" t="str">
        <f t="shared" si="26"/>
        <v>1</v>
      </c>
      <c r="BJ37" s="133" t="str">
        <f t="shared" si="27"/>
        <v>1</v>
      </c>
      <c r="BK37" s="133">
        <f t="shared" si="28"/>
        <v>0</v>
      </c>
      <c r="BL37" s="133">
        <f t="shared" si="29"/>
        <v>0</v>
      </c>
      <c r="BM37" s="133" t="str">
        <f t="shared" si="30"/>
        <v>0</v>
      </c>
      <c r="BN37" s="133" t="str">
        <f t="shared" si="31"/>
        <v>0</v>
      </c>
      <c r="BO37" s="133">
        <f t="shared" si="32"/>
        <v>1</v>
      </c>
      <c r="BP37" s="134" t="str">
        <f t="shared" si="33"/>
        <v>1</v>
      </c>
      <c r="BQ37" s="134" t="str">
        <f t="shared" si="34"/>
        <v>1</v>
      </c>
      <c r="BR37" s="134" t="str">
        <f t="shared" si="35"/>
        <v>0</v>
      </c>
    </row>
    <row r="38" spans="1:70" s="69" customFormat="1" x14ac:dyDescent="0.2">
      <c r="A38" s="89">
        <v>27</v>
      </c>
      <c r="B38" s="90" t="str">
        <f t="shared" si="0"/>
        <v>Шанба</v>
      </c>
      <c r="C38" s="91" t="str">
        <f t="shared" si="1"/>
        <v>Июнь 21, 2014</v>
      </c>
      <c r="D38" s="92">
        <f t="shared" si="19"/>
        <v>0.875</v>
      </c>
      <c r="E38" s="93" t="str">
        <f>AB43</f>
        <v>Аргентина</v>
      </c>
      <c r="F38" s="54"/>
      <c r="G38" s="55"/>
      <c r="H38" s="100" t="str">
        <f>AB45</f>
        <v>Эрон</v>
      </c>
      <c r="I38" s="310">
        <f t="shared" si="20"/>
        <v>3</v>
      </c>
      <c r="J38" s="311"/>
      <c r="K38" s="2"/>
      <c r="L38" s="21" t="str">
        <f>VLOOKUP(1,AA37:AK40,2,FALSE)</f>
        <v>Швейцария</v>
      </c>
      <c r="M38" s="26">
        <f>N38+O38+P38</f>
        <v>0</v>
      </c>
      <c r="N38" s="26">
        <f>VLOOKUP(1,AA37:AK40,3,FALSE)</f>
        <v>0</v>
      </c>
      <c r="O38" s="26">
        <f>VLOOKUP(1,AA37:AK40,4,FALSE)</f>
        <v>0</v>
      </c>
      <c r="P38" s="26">
        <f>VLOOKUP(1,AA37:AK40,5,FALSE)</f>
        <v>0</v>
      </c>
      <c r="Q38" s="26" t="str">
        <f>VLOOKUP(1,AA37:AK40,6,FALSE) &amp; " - " &amp; VLOOKUP(1,AA37:AK40,7,FALSE)</f>
        <v>0 - 0</v>
      </c>
      <c r="R38" s="27">
        <f>N38*3+O38</f>
        <v>0</v>
      </c>
      <c r="S38" s="44"/>
      <c r="T38" s="64">
        <f>DATE(2014,6,21)+TIME(5,0,0)+gmt_delta</f>
        <v>41811.875</v>
      </c>
      <c r="U38" s="70" t="str">
        <f t="shared" si="2"/>
        <v/>
      </c>
      <c r="V38" s="70" t="str">
        <f t="shared" si="3"/>
        <v/>
      </c>
      <c r="W38" s="65">
        <f t="shared" si="4"/>
        <v>0</v>
      </c>
      <c r="X38" s="64">
        <f t="shared" si="5"/>
        <v>0</v>
      </c>
      <c r="Y38" s="64">
        <f t="shared" si="6"/>
        <v>0</v>
      </c>
      <c r="Z38" s="65"/>
      <c r="AA38" s="64">
        <f>COUNTIF(AN37:AN40,CONCATENATE("&gt;=",AN38))</f>
        <v>3</v>
      </c>
      <c r="AB38" s="65" t="str">
        <f>INDEX(T,59,lang)</f>
        <v>Эквадор</v>
      </c>
      <c r="AC38" s="64">
        <f>COUNTIF($U$12:$V$59,"=" &amp; AB38 &amp; "_win")</f>
        <v>0</v>
      </c>
      <c r="AD38" s="64">
        <f>COUNTIF($U$12:$V$59,"=" &amp; AB38 &amp; "_draw")</f>
        <v>0</v>
      </c>
      <c r="AE38" s="64">
        <f>COUNTIF($U$12:$V$59,"=" &amp; AB38 &amp; "_lose")</f>
        <v>0</v>
      </c>
      <c r="AF38" s="64">
        <f>SUMIF($E$12:$E$59,$AB38,$F$12:$F$59) + SUMIF($H$12:$H$59,$AB38,$G$12:$G$59)</f>
        <v>0</v>
      </c>
      <c r="AG38" s="64">
        <f>SUMIF($E$12:$E$59,$AB38,$G$12:$G$59) + SUMIF($H$12:$H$59,$AB38,$F$12:$F$59)</f>
        <v>0</v>
      </c>
      <c r="AH38" s="64">
        <f>(AF38-AG38)*100+AK38*10000+AF38</f>
        <v>0</v>
      </c>
      <c r="AI38" s="64">
        <f>AF38-AG38</f>
        <v>0</v>
      </c>
      <c r="AJ38" s="64">
        <f>(AI38-AI42)/AI41</f>
        <v>0</v>
      </c>
      <c r="AK38" s="64">
        <f>AC38*3+AD38</f>
        <v>0</v>
      </c>
      <c r="AL38" s="64">
        <f>AP38/AP41*1000+AQ38/AQ41*100+AT38/AT41*10+AR38/AR41</f>
        <v>0</v>
      </c>
      <c r="AM38" s="64">
        <f>VLOOKUP(AB38,db_fifarank,2,FALSE)/2000000</f>
        <v>3.97E-4</v>
      </c>
      <c r="AN38" s="65">
        <f>1000*AK38/AK41+100*AJ38+10*AF38/AF41+1*AL38/AL41+AM38</f>
        <v>3.97E-4</v>
      </c>
      <c r="AO38" s="66" t="str">
        <f>IF(SUM(AC37:AE40)=12,L39,INDEX(T,79,lang))</f>
        <v>2E</v>
      </c>
      <c r="AP38" s="67">
        <f>SUMPRODUCT(($U$12:$U$59=AB38&amp;"_win")*($W$12:$W$59))+SUMPRODUCT(($V$12:$V$59=AB38&amp;"_win")*($W$12:$W$59))</f>
        <v>0</v>
      </c>
      <c r="AQ38" s="68">
        <f>SUMPRODUCT(($U$12:$U$59=AB38&amp;"_draw")*($W$12:$W$59))+SUMPRODUCT(($V$12:$V$59=AB38&amp;"_draw")*($W$12:$W$59))</f>
        <v>0</v>
      </c>
      <c r="AR38" s="68">
        <f>SUMPRODUCT(($E$12:$E$59=AB38)*($W$12:$W$59)*($F$12:$F$59))+SUMPRODUCT(($H$12:$H$59=AB38)*($W$12:$W$59)*($G$12:$G$59))</f>
        <v>0</v>
      </c>
      <c r="AS38" s="68">
        <f>SUMPRODUCT(($E$12:$E$59=AB38)*($W$12:$W$59)*($G$12:$G$59))+SUMPRODUCT(($H$12:$H$59=AB38)*($W$12:$W$59)*($F$12:$F$59))</f>
        <v>0</v>
      </c>
      <c r="AT38" s="68">
        <f>AR38-AS38</f>
        <v>0</v>
      </c>
      <c r="AX38" s="83"/>
      <c r="AY38" s="2"/>
      <c r="AZ38" s="2"/>
      <c r="BA38" s="2"/>
      <c r="BB38" s="133">
        <f>'Anketa-2014'!F39</f>
        <v>0</v>
      </c>
      <c r="BC38" s="133">
        <f>'Anketa-2014'!G39</f>
        <v>0</v>
      </c>
      <c r="BD38" s="133">
        <f t="shared" si="21"/>
        <v>0</v>
      </c>
      <c r="BE38" s="133">
        <f t="shared" si="22"/>
        <v>0</v>
      </c>
      <c r="BF38" s="133">
        <f t="shared" si="23"/>
        <v>1</v>
      </c>
      <c r="BG38" s="133">
        <f t="shared" si="24"/>
        <v>1</v>
      </c>
      <c r="BH38" s="133">
        <f t="shared" si="25"/>
        <v>2</v>
      </c>
      <c r="BI38" s="133" t="str">
        <f t="shared" si="26"/>
        <v>1</v>
      </c>
      <c r="BJ38" s="133" t="str">
        <f t="shared" si="27"/>
        <v>1</v>
      </c>
      <c r="BK38" s="133">
        <f t="shared" si="28"/>
        <v>0</v>
      </c>
      <c r="BL38" s="133">
        <f t="shared" si="29"/>
        <v>0</v>
      </c>
      <c r="BM38" s="133" t="str">
        <f t="shared" si="30"/>
        <v>0</v>
      </c>
      <c r="BN38" s="133" t="str">
        <f t="shared" si="31"/>
        <v>0</v>
      </c>
      <c r="BO38" s="133">
        <f t="shared" si="32"/>
        <v>1</v>
      </c>
      <c r="BP38" s="134" t="str">
        <f t="shared" si="33"/>
        <v>1</v>
      </c>
      <c r="BQ38" s="134" t="str">
        <f t="shared" si="34"/>
        <v>1</v>
      </c>
      <c r="BR38" s="134" t="str">
        <f t="shared" si="35"/>
        <v>0</v>
      </c>
    </row>
    <row r="39" spans="1:70" s="69" customFormat="1" x14ac:dyDescent="0.2">
      <c r="A39" s="89">
        <v>28</v>
      </c>
      <c r="B39" s="90" t="str">
        <f t="shared" si="0"/>
        <v>Якш</v>
      </c>
      <c r="C39" s="91" t="str">
        <f t="shared" si="1"/>
        <v>Июнь 22, 2014</v>
      </c>
      <c r="D39" s="92">
        <f t="shared" si="19"/>
        <v>0</v>
      </c>
      <c r="E39" s="93" t="str">
        <f>AB49</f>
        <v>Германия</v>
      </c>
      <c r="F39" s="54"/>
      <c r="G39" s="55"/>
      <c r="H39" s="100" t="str">
        <f>AB51</f>
        <v>Гана</v>
      </c>
      <c r="I39" s="310">
        <f t="shared" si="20"/>
        <v>3</v>
      </c>
      <c r="J39" s="311"/>
      <c r="K39" s="2"/>
      <c r="L39" s="22" t="str">
        <f>VLOOKUP(2,AA37:AK40,2,FALSE)</f>
        <v>Франция</v>
      </c>
      <c r="M39" s="28">
        <f>N39+O39+P39</f>
        <v>0</v>
      </c>
      <c r="N39" s="28">
        <f>VLOOKUP(2,AA37:AK40,3,FALSE)</f>
        <v>0</v>
      </c>
      <c r="O39" s="28">
        <f>VLOOKUP(2,AA37:AK40,4,FALSE)</f>
        <v>0</v>
      </c>
      <c r="P39" s="28">
        <f>VLOOKUP(2,AA37:AK40,5,FALSE)</f>
        <v>0</v>
      </c>
      <c r="Q39" s="28" t="str">
        <f>VLOOKUP(2,AA37:AK40,6,FALSE) &amp; " - " &amp; VLOOKUP(2,AA37:AK40,7,FALSE)</f>
        <v>0 - 0</v>
      </c>
      <c r="R39" s="29">
        <f>N39*3+O39</f>
        <v>0</v>
      </c>
      <c r="S39" s="44"/>
      <c r="T39" s="64">
        <f>DATE(2014,6,21)+TIME(8,0,0)+gmt_delta</f>
        <v>41812</v>
      </c>
      <c r="U39" s="70" t="str">
        <f t="shared" si="2"/>
        <v/>
      </c>
      <c r="V39" s="70" t="str">
        <f t="shared" si="3"/>
        <v/>
      </c>
      <c r="W39" s="65">
        <f t="shared" si="4"/>
        <v>0</v>
      </c>
      <c r="X39" s="64">
        <f t="shared" si="5"/>
        <v>0</v>
      </c>
      <c r="Y39" s="64">
        <f t="shared" si="6"/>
        <v>0</v>
      </c>
      <c r="Z39" s="65"/>
      <c r="AA39" s="64">
        <f>COUNTIF(AN37:AN40,CONCATENATE("&gt;=",AN39))</f>
        <v>2</v>
      </c>
      <c r="AB39" s="65" t="str">
        <f>INDEX(T,41,lang)</f>
        <v>Франция</v>
      </c>
      <c r="AC39" s="64">
        <f>COUNTIF($U$12:$V$59,"=" &amp; AB39 &amp; "_win")</f>
        <v>0</v>
      </c>
      <c r="AD39" s="64">
        <f>COUNTIF($U$12:$V$59,"=" &amp; AB39 &amp; "_draw")</f>
        <v>0</v>
      </c>
      <c r="AE39" s="64">
        <f>COUNTIF($U$12:$V$59,"=" &amp; AB39 &amp; "_lose")</f>
        <v>0</v>
      </c>
      <c r="AF39" s="64">
        <f>SUMIF($E$12:$E$59,$AB39,$F$12:$F$59) + SUMIF($H$12:$H$59,$AB39,$G$12:$G$59)</f>
        <v>0</v>
      </c>
      <c r="AG39" s="64">
        <f>SUMIF($E$12:$E$59,$AB39,$G$12:$G$59) + SUMIF($H$12:$H$59,$AB39,$F$12:$F$59)</f>
        <v>0</v>
      </c>
      <c r="AH39" s="64">
        <f>(AF39-AG39)*100+AK39*10000+AF39</f>
        <v>0</v>
      </c>
      <c r="AI39" s="64">
        <f>AF39-AG39</f>
        <v>0</v>
      </c>
      <c r="AJ39" s="64">
        <f>(AI39-AI42)/AI41</f>
        <v>0</v>
      </c>
      <c r="AK39" s="64">
        <f>AC39*3+AD39</f>
        <v>0</v>
      </c>
      <c r="AL39" s="64">
        <f>AP39/AP41*1000+AQ39/AQ41*100+AT39/AT41*10+AR39/AR41</f>
        <v>0</v>
      </c>
      <c r="AM39" s="64">
        <f>VLOOKUP(AB39,db_fifarank,2,FALSE)/2000000</f>
        <v>4.6749999999999998E-4</v>
      </c>
      <c r="AN39" s="65">
        <f>1000*AK39/AK41+100*AJ39+10*AF39/AF41+1*AL39/AL41+AM39</f>
        <v>4.6749999999999998E-4</v>
      </c>
      <c r="AO39" s="66"/>
      <c r="AP39" s="67">
        <f>SUMPRODUCT(($U$12:$U$59=AB39&amp;"_win")*($W$12:$W$59))+SUMPRODUCT(($V$12:$V$59=AB39&amp;"_win")*($W$12:$W$59))</f>
        <v>0</v>
      </c>
      <c r="AQ39" s="68">
        <f>SUMPRODUCT(($U$12:$U$59=AB39&amp;"_draw")*($W$12:$W$59))+SUMPRODUCT(($V$12:$V$59=AB39&amp;"_draw")*($W$12:$W$59))</f>
        <v>0</v>
      </c>
      <c r="AR39" s="68">
        <f>SUMPRODUCT(($E$12:$E$59=AB39)*($W$12:$W$59)*($F$12:$F$59))+SUMPRODUCT(($H$12:$H$59=AB39)*($W$12:$W$59)*($G$12:$G$59))</f>
        <v>0</v>
      </c>
      <c r="AS39" s="68">
        <f>SUMPRODUCT(($E$12:$E$59=AB39)*($W$12:$W$59)*($G$12:$G$59))+SUMPRODUCT(($H$12:$H$59=AB39)*($W$12:$W$59)*($F$12:$F$59))</f>
        <v>0</v>
      </c>
      <c r="AT39" s="68">
        <f>AR39-AS39</f>
        <v>0</v>
      </c>
      <c r="AX39" s="83"/>
      <c r="AY39" s="2"/>
      <c r="AZ39" s="2"/>
      <c r="BA39" s="2"/>
      <c r="BB39" s="133">
        <f>'Anketa-2014'!F40</f>
        <v>0</v>
      </c>
      <c r="BC39" s="133">
        <f>'Anketa-2014'!G40</f>
        <v>0</v>
      </c>
      <c r="BD39" s="133">
        <f t="shared" si="21"/>
        <v>0</v>
      </c>
      <c r="BE39" s="133">
        <f t="shared" si="22"/>
        <v>0</v>
      </c>
      <c r="BF39" s="133">
        <f t="shared" si="23"/>
        <v>1</v>
      </c>
      <c r="BG39" s="133">
        <f t="shared" si="24"/>
        <v>1</v>
      </c>
      <c r="BH39" s="133">
        <f t="shared" si="25"/>
        <v>2</v>
      </c>
      <c r="BI39" s="133" t="str">
        <f t="shared" si="26"/>
        <v>1</v>
      </c>
      <c r="BJ39" s="133" t="str">
        <f t="shared" si="27"/>
        <v>1</v>
      </c>
      <c r="BK39" s="133">
        <f t="shared" si="28"/>
        <v>0</v>
      </c>
      <c r="BL39" s="133">
        <f t="shared" si="29"/>
        <v>0</v>
      </c>
      <c r="BM39" s="133" t="str">
        <f t="shared" si="30"/>
        <v>0</v>
      </c>
      <c r="BN39" s="133" t="str">
        <f t="shared" si="31"/>
        <v>0</v>
      </c>
      <c r="BO39" s="133">
        <f t="shared" si="32"/>
        <v>1</v>
      </c>
      <c r="BP39" s="134" t="str">
        <f t="shared" si="33"/>
        <v>1</v>
      </c>
      <c r="BQ39" s="134" t="str">
        <f t="shared" si="34"/>
        <v>1</v>
      </c>
      <c r="BR39" s="134" t="str">
        <f t="shared" si="35"/>
        <v>0</v>
      </c>
    </row>
    <row r="40" spans="1:70" s="69" customFormat="1" x14ac:dyDescent="0.2">
      <c r="A40" s="89">
        <v>29</v>
      </c>
      <c r="B40" s="90" t="str">
        <f t="shared" si="0"/>
        <v>Якш</v>
      </c>
      <c r="C40" s="91" t="str">
        <f t="shared" si="1"/>
        <v>Июнь 22, 2014</v>
      </c>
      <c r="D40" s="92">
        <f t="shared" si="19"/>
        <v>0.125</v>
      </c>
      <c r="E40" s="93" t="str">
        <f>AB46</f>
        <v>Нигерия</v>
      </c>
      <c r="F40" s="54"/>
      <c r="G40" s="55"/>
      <c r="H40" s="100" t="str">
        <f>AB44</f>
        <v>Босния ва Герцеговина</v>
      </c>
      <c r="I40" s="310">
        <f t="shared" si="20"/>
        <v>3</v>
      </c>
      <c r="J40" s="311"/>
      <c r="K40" s="2"/>
      <c r="L40" s="22" t="str">
        <f>VLOOKUP(3,AA37:AK40,2,FALSE)</f>
        <v>Эквадор</v>
      </c>
      <c r="M40" s="28">
        <f>N40+O40+P40</f>
        <v>0</v>
      </c>
      <c r="N40" s="28">
        <f>VLOOKUP(3,AA37:AK40,3,FALSE)</f>
        <v>0</v>
      </c>
      <c r="O40" s="28">
        <f>VLOOKUP(3,AA37:AK40,4,FALSE)</f>
        <v>0</v>
      </c>
      <c r="P40" s="28">
        <f>VLOOKUP(3,AA37:AK40,5,FALSE)</f>
        <v>0</v>
      </c>
      <c r="Q40" s="28" t="str">
        <f>VLOOKUP(3,AA37:AK40,6,FALSE) &amp; " - " &amp; VLOOKUP(3,AA37:AK40,7,FALSE)</f>
        <v>0 - 0</v>
      </c>
      <c r="R40" s="29">
        <f>N40*3+O40</f>
        <v>0</v>
      </c>
      <c r="S40" s="44"/>
      <c r="T40" s="64">
        <f>DATE(2014,6,21)+TIME(11,0,0)+gmt_delta</f>
        <v>41812.125</v>
      </c>
      <c r="U40" s="70" t="str">
        <f t="shared" si="2"/>
        <v/>
      </c>
      <c r="V40" s="70" t="str">
        <f t="shared" si="3"/>
        <v/>
      </c>
      <c r="W40" s="65">
        <f t="shared" si="4"/>
        <v>0</v>
      </c>
      <c r="X40" s="64">
        <f t="shared" si="5"/>
        <v>0</v>
      </c>
      <c r="Y40" s="64">
        <f t="shared" si="6"/>
        <v>0</v>
      </c>
      <c r="Z40" s="65"/>
      <c r="AA40" s="64">
        <f>COUNTIF(AN37:AN40,CONCATENATE("&gt;=",AN40))</f>
        <v>4</v>
      </c>
      <c r="AB40" s="65" t="str">
        <f>INDEX(T,68,lang)</f>
        <v>Гондурас</v>
      </c>
      <c r="AC40" s="64">
        <f>COUNTIF($U$12:$V$59,"=" &amp; AB40 &amp; "_win")</f>
        <v>0</v>
      </c>
      <c r="AD40" s="64">
        <f>COUNTIF($U$12:$V$59,"=" &amp; AB40 &amp; "_draw")</f>
        <v>0</v>
      </c>
      <c r="AE40" s="64">
        <f>COUNTIF($U$12:$V$59,"=" &amp; AB40 &amp; "_lose")</f>
        <v>0</v>
      </c>
      <c r="AF40" s="64">
        <f>SUMIF($E$12:$E$59,$AB40,$F$12:$F$59) + SUMIF($H$12:$H$59,$AB40,$G$12:$G$59)</f>
        <v>0</v>
      </c>
      <c r="AG40" s="64">
        <f>SUMIF($E$12:$E$59,$AB40,$G$12:$G$59) + SUMIF($H$12:$H$59,$AB40,$F$12:$F$59)</f>
        <v>0</v>
      </c>
      <c r="AH40" s="64">
        <f>(AF40-AG40)*100+AK40*10000+AF40</f>
        <v>0</v>
      </c>
      <c r="AI40" s="64">
        <f>AF40-AG40</f>
        <v>0</v>
      </c>
      <c r="AJ40" s="64">
        <f>(AI40-AI42)/AI41</f>
        <v>0</v>
      </c>
      <c r="AK40" s="64">
        <f>AC40*3+AD40</f>
        <v>0</v>
      </c>
      <c r="AL40" s="64">
        <f>AP40/AP41*1000+AQ40/AQ41*100+AT40/AT41*10+AR40/AR41</f>
        <v>0</v>
      </c>
      <c r="AM40" s="64">
        <f>VLOOKUP(AB40,db_fifarank,2,FALSE)/2000000</f>
        <v>3.7950000000000001E-4</v>
      </c>
      <c r="AN40" s="65">
        <f>1000*AK40/AK41+100*AJ40+10*AF40/AF41+1*AL40/AL41+AM40</f>
        <v>3.7950000000000001E-4</v>
      </c>
      <c r="AO40" s="66"/>
      <c r="AP40" s="67">
        <f>SUMPRODUCT(($U$12:$U$59=AB40&amp;"_win")*($W$12:$W$59))+SUMPRODUCT(($V$12:$V$59=AB40&amp;"_win")*($W$12:$W$59))</f>
        <v>0</v>
      </c>
      <c r="AQ40" s="68">
        <f>SUMPRODUCT(($U$12:$U$59=AB40&amp;"_draw")*($W$12:$W$59))+SUMPRODUCT(($V$12:$V$59=AB40&amp;"_draw")*($W$12:$W$59))</f>
        <v>0</v>
      </c>
      <c r="AR40" s="68">
        <f>SUMPRODUCT(($E$12:$E$59=AB40)*($W$12:$W$59)*($F$12:$F$59))+SUMPRODUCT(($H$12:$H$59=AB40)*($W$12:$W$59)*($G$12:$G$59))</f>
        <v>0</v>
      </c>
      <c r="AS40" s="68">
        <f>SUMPRODUCT(($E$12:$E$59=AB40)*($W$12:$W$59)*($G$12:$G$59))+SUMPRODUCT(($H$12:$H$59=AB40)*($W$12:$W$59)*($F$12:$F$59))</f>
        <v>0</v>
      </c>
      <c r="AT40" s="68">
        <f>AR40-AS40</f>
        <v>0</v>
      </c>
      <c r="AX40" s="83"/>
      <c r="AY40" s="2"/>
      <c r="AZ40" s="2"/>
      <c r="BA40" s="2"/>
      <c r="BB40" s="133">
        <f>'Anketa-2014'!F41</f>
        <v>0</v>
      </c>
      <c r="BC40" s="133">
        <f>'Anketa-2014'!G41</f>
        <v>0</v>
      </c>
      <c r="BD40" s="133">
        <f t="shared" si="21"/>
        <v>0</v>
      </c>
      <c r="BE40" s="133">
        <f t="shared" si="22"/>
        <v>0</v>
      </c>
      <c r="BF40" s="133">
        <f t="shared" si="23"/>
        <v>1</v>
      </c>
      <c r="BG40" s="133">
        <f t="shared" si="24"/>
        <v>1</v>
      </c>
      <c r="BH40" s="133">
        <f t="shared" si="25"/>
        <v>2</v>
      </c>
      <c r="BI40" s="133" t="str">
        <f t="shared" si="26"/>
        <v>1</v>
      </c>
      <c r="BJ40" s="133" t="str">
        <f t="shared" si="27"/>
        <v>1</v>
      </c>
      <c r="BK40" s="133">
        <f t="shared" si="28"/>
        <v>0</v>
      </c>
      <c r="BL40" s="133">
        <f t="shared" si="29"/>
        <v>0</v>
      </c>
      <c r="BM40" s="133" t="str">
        <f t="shared" si="30"/>
        <v>0</v>
      </c>
      <c r="BN40" s="133" t="str">
        <f t="shared" si="31"/>
        <v>0</v>
      </c>
      <c r="BO40" s="133">
        <f t="shared" si="32"/>
        <v>1</v>
      </c>
      <c r="BP40" s="134" t="str">
        <f t="shared" si="33"/>
        <v>1</v>
      </c>
      <c r="BQ40" s="134" t="str">
        <f t="shared" si="34"/>
        <v>1</v>
      </c>
      <c r="BR40" s="134" t="str">
        <f t="shared" si="35"/>
        <v>0</v>
      </c>
    </row>
    <row r="41" spans="1:70" s="69" customFormat="1" x14ac:dyDescent="0.2">
      <c r="A41" s="89">
        <v>30</v>
      </c>
      <c r="B41" s="90" t="str">
        <f t="shared" si="0"/>
        <v>Душ</v>
      </c>
      <c r="C41" s="91" t="str">
        <f t="shared" si="1"/>
        <v>Июнь 23, 2014</v>
      </c>
      <c r="D41" s="92">
        <f t="shared" si="19"/>
        <v>0</v>
      </c>
      <c r="E41" s="93" t="str">
        <f>AB58</f>
        <v>Жанубий Корея</v>
      </c>
      <c r="F41" s="54"/>
      <c r="G41" s="55"/>
      <c r="H41" s="100" t="str">
        <f>AB56</f>
        <v>Жазоир</v>
      </c>
      <c r="I41" s="310">
        <f t="shared" si="20"/>
        <v>3</v>
      </c>
      <c r="J41" s="311"/>
      <c r="K41" s="2"/>
      <c r="L41" s="23" t="str">
        <f>VLOOKUP(4,AA37:AK40,2,FALSE)</f>
        <v>Гондурас</v>
      </c>
      <c r="M41" s="30">
        <f>N41+O41+P41</f>
        <v>0</v>
      </c>
      <c r="N41" s="30">
        <f>VLOOKUP(4,AA37:AK40,3,FALSE)</f>
        <v>0</v>
      </c>
      <c r="O41" s="30">
        <f>VLOOKUP(4,AA37:AK40,4,FALSE)</f>
        <v>0</v>
      </c>
      <c r="P41" s="30">
        <f>VLOOKUP(4,AA37:AK40,5,FALSE)</f>
        <v>0</v>
      </c>
      <c r="Q41" s="30" t="str">
        <f>VLOOKUP(4,AA37:AK40,6,FALSE) &amp; " - " &amp; VLOOKUP(4,AA37:AK40,7,FALSE)</f>
        <v>0 - 0</v>
      </c>
      <c r="R41" s="31">
        <f>N41*3+O41</f>
        <v>0</v>
      </c>
      <c r="S41" s="44"/>
      <c r="T41" s="64">
        <f>DATE(2014,6,22)+TIME(8,0,0)+gmt_delta</f>
        <v>41813</v>
      </c>
      <c r="U41" s="70" t="str">
        <f t="shared" si="2"/>
        <v/>
      </c>
      <c r="V41" s="70" t="str">
        <f t="shared" si="3"/>
        <v/>
      </c>
      <c r="W41" s="65">
        <f t="shared" si="4"/>
        <v>0</v>
      </c>
      <c r="X41" s="64">
        <f t="shared" si="5"/>
        <v>0</v>
      </c>
      <c r="Y41" s="64">
        <f t="shared" si="6"/>
        <v>0</v>
      </c>
      <c r="Z41" s="65"/>
      <c r="AA41" s="64"/>
      <c r="AB41" s="65"/>
      <c r="AC41" s="64">
        <f t="shared" ref="AC41:AL41" si="40">MAX(AC37:AC40)-MIN(AC37:AC40)+1</f>
        <v>1</v>
      </c>
      <c r="AD41" s="64">
        <f t="shared" si="40"/>
        <v>1</v>
      </c>
      <c r="AE41" s="64">
        <f t="shared" si="40"/>
        <v>1</v>
      </c>
      <c r="AF41" s="64">
        <f t="shared" si="40"/>
        <v>1</v>
      </c>
      <c r="AG41" s="64">
        <f t="shared" si="40"/>
        <v>1</v>
      </c>
      <c r="AH41" s="64">
        <f>MAX(AH37:AH40)-AH42+1</f>
        <v>1</v>
      </c>
      <c r="AI41" s="64">
        <f>MAX(AI37:AI40)-AI42+1</f>
        <v>1</v>
      </c>
      <c r="AJ41" s="64"/>
      <c r="AK41" s="64">
        <f t="shared" si="40"/>
        <v>1</v>
      </c>
      <c r="AL41" s="64">
        <f t="shared" si="40"/>
        <v>1</v>
      </c>
      <c r="AM41" s="65"/>
      <c r="AN41" s="65"/>
      <c r="AO41" s="66"/>
      <c r="AP41" s="64">
        <f>MAX(AP37:AP40)-MIN(AP37:AP40)+1</f>
        <v>1</v>
      </c>
      <c r="AQ41" s="64">
        <f>MAX(AQ37:AQ40)-MIN(AQ37:AQ40)+1</f>
        <v>1</v>
      </c>
      <c r="AR41" s="64">
        <f>MAX(AR37:AR40)-MIN(AR37:AR40)+1</f>
        <v>1</v>
      </c>
      <c r="AS41" s="64">
        <f>MAX(AS37:AS40)-MIN(AS37:AS40)+1</f>
        <v>1</v>
      </c>
      <c r="AT41" s="64">
        <f>MAX(AT37:AT40)-MIN(AT37:AT40)+1</f>
        <v>1</v>
      </c>
      <c r="AX41" s="83"/>
      <c r="AY41" s="2"/>
      <c r="AZ41" s="2"/>
      <c r="BA41" s="2"/>
      <c r="BB41" s="133">
        <f>'Anketa-2014'!F42</f>
        <v>0</v>
      </c>
      <c r="BC41" s="133">
        <f>'Anketa-2014'!G42</f>
        <v>0</v>
      </c>
      <c r="BD41" s="133">
        <f t="shared" si="21"/>
        <v>0</v>
      </c>
      <c r="BE41" s="133">
        <f t="shared" si="22"/>
        <v>0</v>
      </c>
      <c r="BF41" s="133">
        <f t="shared" si="23"/>
        <v>1</v>
      </c>
      <c r="BG41" s="133">
        <f t="shared" si="24"/>
        <v>1</v>
      </c>
      <c r="BH41" s="133">
        <f t="shared" si="25"/>
        <v>2</v>
      </c>
      <c r="BI41" s="133" t="str">
        <f t="shared" si="26"/>
        <v>1</v>
      </c>
      <c r="BJ41" s="133" t="str">
        <f t="shared" si="27"/>
        <v>1</v>
      </c>
      <c r="BK41" s="133">
        <f t="shared" si="28"/>
        <v>0</v>
      </c>
      <c r="BL41" s="133">
        <f t="shared" si="29"/>
        <v>0</v>
      </c>
      <c r="BM41" s="133" t="str">
        <f t="shared" si="30"/>
        <v>0</v>
      </c>
      <c r="BN41" s="133" t="str">
        <f t="shared" si="31"/>
        <v>0</v>
      </c>
      <c r="BO41" s="133">
        <f t="shared" si="32"/>
        <v>1</v>
      </c>
      <c r="BP41" s="134" t="str">
        <f t="shared" si="33"/>
        <v>1</v>
      </c>
      <c r="BQ41" s="134" t="str">
        <f t="shared" si="34"/>
        <v>1</v>
      </c>
      <c r="BR41" s="134" t="str">
        <f t="shared" si="35"/>
        <v>0</v>
      </c>
    </row>
    <row r="42" spans="1:70" s="69" customFormat="1" x14ac:dyDescent="0.2">
      <c r="A42" s="89">
        <v>31</v>
      </c>
      <c r="B42" s="90" t="str">
        <f t="shared" si="0"/>
        <v>Душ</v>
      </c>
      <c r="C42" s="91" t="str">
        <f t="shared" si="1"/>
        <v>Июнь 23, 2014</v>
      </c>
      <c r="D42" s="92">
        <f t="shared" si="19"/>
        <v>0.125</v>
      </c>
      <c r="E42" s="93" t="str">
        <f>AB52</f>
        <v>АҚШ</v>
      </c>
      <c r="F42" s="54"/>
      <c r="G42" s="55"/>
      <c r="H42" s="100" t="str">
        <f>AB50</f>
        <v>Португалия</v>
      </c>
      <c r="I42" s="310">
        <f t="shared" si="20"/>
        <v>3</v>
      </c>
      <c r="J42" s="311"/>
      <c r="K42" s="2"/>
      <c r="L42" s="24"/>
      <c r="M42" s="25"/>
      <c r="N42" s="25"/>
      <c r="O42" s="25"/>
      <c r="P42" s="25"/>
      <c r="Q42" s="25"/>
      <c r="R42" s="25"/>
      <c r="S42" s="44"/>
      <c r="T42" s="64">
        <f>DATE(2014,6,22)+TIME(11,0,0)+gmt_delta</f>
        <v>41813.125</v>
      </c>
      <c r="U42" s="70" t="str">
        <f t="shared" si="2"/>
        <v/>
      </c>
      <c r="V42" s="70" t="str">
        <f t="shared" si="3"/>
        <v/>
      </c>
      <c r="W42" s="65">
        <f t="shared" si="4"/>
        <v>0</v>
      </c>
      <c r="X42" s="64">
        <f t="shared" si="5"/>
        <v>0</v>
      </c>
      <c r="Y42" s="64">
        <f t="shared" si="6"/>
        <v>0</v>
      </c>
      <c r="Z42" s="65"/>
      <c r="AA42" s="64"/>
      <c r="AB42" s="65"/>
      <c r="AC42" s="64"/>
      <c r="AD42" s="64"/>
      <c r="AE42" s="64"/>
      <c r="AF42" s="64"/>
      <c r="AG42" s="64"/>
      <c r="AH42" s="64">
        <f>MIN(AH37:AH40)</f>
        <v>0</v>
      </c>
      <c r="AI42" s="64">
        <f>MIN(AI37:AI40)</f>
        <v>0</v>
      </c>
      <c r="AJ42" s="64"/>
      <c r="AK42" s="64"/>
      <c r="AL42" s="64"/>
      <c r="AM42" s="65"/>
      <c r="AN42" s="65"/>
      <c r="AO42" s="66"/>
      <c r="AP42" s="67"/>
      <c r="AQ42" s="68"/>
      <c r="AR42" s="68"/>
      <c r="AS42" s="68"/>
      <c r="AT42" s="68"/>
      <c r="AX42" s="83"/>
      <c r="AY42" s="2"/>
      <c r="AZ42" s="2"/>
      <c r="BA42" s="2"/>
      <c r="BB42" s="133">
        <f>'Anketa-2014'!F43</f>
        <v>0</v>
      </c>
      <c r="BC42" s="133">
        <f>'Anketa-2014'!G43</f>
        <v>0</v>
      </c>
      <c r="BD42" s="133">
        <f t="shared" si="21"/>
        <v>0</v>
      </c>
      <c r="BE42" s="133">
        <f t="shared" si="22"/>
        <v>0</v>
      </c>
      <c r="BF42" s="133">
        <f t="shared" si="23"/>
        <v>1</v>
      </c>
      <c r="BG42" s="133">
        <f t="shared" si="24"/>
        <v>1</v>
      </c>
      <c r="BH42" s="133">
        <f t="shared" si="25"/>
        <v>2</v>
      </c>
      <c r="BI42" s="133" t="str">
        <f t="shared" si="26"/>
        <v>1</v>
      </c>
      <c r="BJ42" s="133" t="str">
        <f t="shared" si="27"/>
        <v>1</v>
      </c>
      <c r="BK42" s="133">
        <f t="shared" si="28"/>
        <v>0</v>
      </c>
      <c r="BL42" s="133">
        <f t="shared" si="29"/>
        <v>0</v>
      </c>
      <c r="BM42" s="133" t="str">
        <f t="shared" si="30"/>
        <v>0</v>
      </c>
      <c r="BN42" s="133" t="str">
        <f t="shared" si="31"/>
        <v>0</v>
      </c>
      <c r="BO42" s="133">
        <f t="shared" si="32"/>
        <v>1</v>
      </c>
      <c r="BP42" s="134" t="str">
        <f t="shared" si="33"/>
        <v>1</v>
      </c>
      <c r="BQ42" s="134" t="str">
        <f t="shared" si="34"/>
        <v>1</v>
      </c>
      <c r="BR42" s="134" t="str">
        <f t="shared" si="35"/>
        <v>0</v>
      </c>
    </row>
    <row r="43" spans="1:70" s="69" customFormat="1" x14ac:dyDescent="0.2">
      <c r="A43" s="89">
        <v>32</v>
      </c>
      <c r="B43" s="90" t="str">
        <f t="shared" si="0"/>
        <v>Якш</v>
      </c>
      <c r="C43" s="91" t="str">
        <f t="shared" si="1"/>
        <v>Июнь 22, 2014</v>
      </c>
      <c r="D43" s="92">
        <f t="shared" si="19"/>
        <v>0.875</v>
      </c>
      <c r="E43" s="93" t="str">
        <f>AB55</f>
        <v>Бельгия</v>
      </c>
      <c r="F43" s="54"/>
      <c r="G43" s="55"/>
      <c r="H43" s="100" t="str">
        <f>AB57</f>
        <v>Россия</v>
      </c>
      <c r="I43" s="310">
        <f t="shared" si="20"/>
        <v>3</v>
      </c>
      <c r="J43" s="311"/>
      <c r="K43" s="2"/>
      <c r="L43" s="52" t="str">
        <f>INDEX(T,9,lang) &amp; " " &amp; "F"</f>
        <v>Гуруҳ F</v>
      </c>
      <c r="M43" s="53" t="str">
        <f>INDEX(T,10,lang)</f>
        <v>Ў</v>
      </c>
      <c r="N43" s="53" t="str">
        <f>INDEX(T,11,lang)</f>
        <v>Ю</v>
      </c>
      <c r="O43" s="53" t="str">
        <f>INDEX(T,12,lang)</f>
        <v>Д</v>
      </c>
      <c r="P43" s="53" t="str">
        <f>INDEX(T,13,lang)</f>
        <v>М</v>
      </c>
      <c r="Q43" s="53" t="str">
        <f>INDEX(T,14,lang)</f>
        <v>Тўп. нисб.</v>
      </c>
      <c r="R43" s="53" t="str">
        <f>INDEX(T,15,lang)</f>
        <v>Очколар</v>
      </c>
      <c r="S43" s="44"/>
      <c r="T43" s="64">
        <f>DATE(2014,6,22)+TIME(5,0,0)+gmt_delta</f>
        <v>41812.875</v>
      </c>
      <c r="U43" s="70" t="str">
        <f t="shared" si="2"/>
        <v/>
      </c>
      <c r="V43" s="70" t="str">
        <f t="shared" si="3"/>
        <v/>
      </c>
      <c r="W43" s="65">
        <f t="shared" si="4"/>
        <v>0</v>
      </c>
      <c r="X43" s="64">
        <f t="shared" si="5"/>
        <v>0</v>
      </c>
      <c r="Y43" s="64">
        <f t="shared" si="6"/>
        <v>0</v>
      </c>
      <c r="Z43" s="65"/>
      <c r="AA43" s="64">
        <f>COUNTIF(AN43:AN46,CONCATENATE("&gt;=",AN43))</f>
        <v>1</v>
      </c>
      <c r="AB43" s="65" t="str">
        <f>INDEX(T,42,lang)</f>
        <v>Аргентина</v>
      </c>
      <c r="AC43" s="64">
        <f>COUNTIF($U$12:$V$59,"=" &amp; AB43 &amp; "_win")</f>
        <v>0</v>
      </c>
      <c r="AD43" s="64">
        <f>COUNTIF($U$12:$V$59,"=" &amp; AB43 &amp; "_draw")</f>
        <v>0</v>
      </c>
      <c r="AE43" s="64">
        <f>COUNTIF($U$12:$V$59,"=" &amp; AB43 &amp; "_lose")</f>
        <v>0</v>
      </c>
      <c r="AF43" s="64">
        <f>SUMIF($E$12:$E$59,$AB43,$F$12:$F$59) + SUMIF($H$12:$H$59,$AB43,$G$12:$G$59)</f>
        <v>0</v>
      </c>
      <c r="AG43" s="64">
        <f>SUMIF($E$12:$E$59,$AB43,$G$12:$G$59) + SUMIF($H$12:$H$59,$AB43,$F$12:$F$59)</f>
        <v>0</v>
      </c>
      <c r="AH43" s="64">
        <f>(AF43-AG43)*100+AK43*10000+AF43</f>
        <v>0</v>
      </c>
      <c r="AI43" s="64">
        <f>AF43-AG43</f>
        <v>0</v>
      </c>
      <c r="AJ43" s="64">
        <f>(AI43-AI48)/AI47</f>
        <v>0</v>
      </c>
      <c r="AK43" s="64">
        <f>AC43*3+AD43</f>
        <v>0</v>
      </c>
      <c r="AL43" s="64">
        <f>AP43/AP47*1000+AQ43/AQ47*100+AT43/AT47*10+AR43/AR47</f>
        <v>0</v>
      </c>
      <c r="AM43" s="64">
        <f>VLOOKUP(AB43,db_fifarank,2,FALSE)/2000000</f>
        <v>5.8900000000000001E-4</v>
      </c>
      <c r="AN43" s="65">
        <f>1000*AK43/AK47+100*AJ43+10*AF43/AF47+1*AL43/AL47+AM43</f>
        <v>5.8900000000000001E-4</v>
      </c>
      <c r="AO43" s="66" t="str">
        <f>IF(SUM(AC43:AE46)=12,L44,INDEX(T,80,lang))</f>
        <v>1F</v>
      </c>
      <c r="AP43" s="67">
        <f>SUMPRODUCT(($U$12:$U$59=AB43&amp;"_win")*($W$12:$W$59))+SUMPRODUCT(($V$12:$V$59=AB43&amp;"_win")*($W$12:$W$59))</f>
        <v>0</v>
      </c>
      <c r="AQ43" s="68">
        <f>SUMPRODUCT(($U$12:$U$59=AB43&amp;"_draw")*($W$12:$W$59))+SUMPRODUCT(($V$12:$V$59=AB43&amp;"_draw")*($W$12:$W$59))</f>
        <v>0</v>
      </c>
      <c r="AR43" s="68">
        <f>SUMPRODUCT(($E$12:$E$59=AB43)*($W$12:$W$59)*($F$12:$F$59))+SUMPRODUCT(($H$12:$H$59=AB43)*($W$12:$W$59)*($G$12:$G$59))</f>
        <v>0</v>
      </c>
      <c r="AS43" s="68">
        <f>SUMPRODUCT(($E$12:$E$59=AB43)*($W$12:$W$59)*($G$12:$G$59))+SUMPRODUCT(($H$12:$H$59=AB43)*($W$12:$W$59)*($F$12:$F$59))</f>
        <v>0</v>
      </c>
      <c r="AT43" s="68">
        <f>AR43-AS43</f>
        <v>0</v>
      </c>
      <c r="AX43" s="83"/>
      <c r="AY43" s="2"/>
      <c r="AZ43" s="2"/>
      <c r="BA43" s="2"/>
      <c r="BB43" s="133">
        <f>'Anketa-2014'!F44</f>
        <v>0</v>
      </c>
      <c r="BC43" s="133">
        <f>'Anketa-2014'!G44</f>
        <v>0</v>
      </c>
      <c r="BD43" s="133">
        <f t="shared" si="21"/>
        <v>0</v>
      </c>
      <c r="BE43" s="133">
        <f t="shared" si="22"/>
        <v>0</v>
      </c>
      <c r="BF43" s="133">
        <f t="shared" si="23"/>
        <v>1</v>
      </c>
      <c r="BG43" s="133">
        <f t="shared" si="24"/>
        <v>1</v>
      </c>
      <c r="BH43" s="133">
        <f t="shared" si="25"/>
        <v>2</v>
      </c>
      <c r="BI43" s="133" t="str">
        <f t="shared" si="26"/>
        <v>1</v>
      </c>
      <c r="BJ43" s="133" t="str">
        <f t="shared" si="27"/>
        <v>1</v>
      </c>
      <c r="BK43" s="133">
        <f t="shared" si="28"/>
        <v>0</v>
      </c>
      <c r="BL43" s="133">
        <f t="shared" si="29"/>
        <v>0</v>
      </c>
      <c r="BM43" s="133" t="str">
        <f t="shared" si="30"/>
        <v>0</v>
      </c>
      <c r="BN43" s="133" t="str">
        <f t="shared" si="31"/>
        <v>0</v>
      </c>
      <c r="BO43" s="133">
        <f t="shared" si="32"/>
        <v>1</v>
      </c>
      <c r="BP43" s="134" t="str">
        <f t="shared" si="33"/>
        <v>1</v>
      </c>
      <c r="BQ43" s="134" t="str">
        <f t="shared" si="34"/>
        <v>1</v>
      </c>
      <c r="BR43" s="134" t="str">
        <f t="shared" si="35"/>
        <v>0</v>
      </c>
    </row>
    <row r="44" spans="1:70" s="69" customFormat="1" x14ac:dyDescent="0.2">
      <c r="A44" s="89">
        <v>33</v>
      </c>
      <c r="B44" s="90" t="str">
        <f t="shared" si="0"/>
        <v>Душ</v>
      </c>
      <c r="C44" s="91" t="str">
        <f t="shared" si="1"/>
        <v>Июнь 23, 2014</v>
      </c>
      <c r="D44" s="92">
        <f t="shared" si="19"/>
        <v>0.875</v>
      </c>
      <c r="E44" s="93" t="str">
        <f>AB22</f>
        <v>Австралия</v>
      </c>
      <c r="F44" s="54"/>
      <c r="G44" s="55"/>
      <c r="H44" s="100" t="str">
        <f>AB19</f>
        <v>Испания</v>
      </c>
      <c r="I44" s="310">
        <f t="shared" si="20"/>
        <v>3</v>
      </c>
      <c r="J44" s="311"/>
      <c r="K44" s="2"/>
      <c r="L44" s="21" t="str">
        <f>VLOOKUP(1,AA43:AK46,2,FALSE)</f>
        <v>Аргентина</v>
      </c>
      <c r="M44" s="26">
        <f>N44+O44+P44</f>
        <v>0</v>
      </c>
      <c r="N44" s="26">
        <f>VLOOKUP(1,AA43:AK46,3,FALSE)</f>
        <v>0</v>
      </c>
      <c r="O44" s="26">
        <f>VLOOKUP(1,AA43:AK46,4,FALSE)</f>
        <v>0</v>
      </c>
      <c r="P44" s="26">
        <f>VLOOKUP(1,AA43:AK46,5,FALSE)</f>
        <v>0</v>
      </c>
      <c r="Q44" s="26" t="str">
        <f>VLOOKUP(1,AA43:AK46,6,FALSE) &amp; " - " &amp; VLOOKUP(1,AA43:AK46,7,FALSE)</f>
        <v>0 - 0</v>
      </c>
      <c r="R44" s="27">
        <f>N44*3+O44</f>
        <v>0</v>
      </c>
      <c r="S44" s="44"/>
      <c r="T44" s="64">
        <f>DATE(2014,6,23)+TIME(5,0,0)+gmt_delta</f>
        <v>41813.875</v>
      </c>
      <c r="U44" s="70" t="str">
        <f t="shared" si="2"/>
        <v/>
      </c>
      <c r="V44" s="70" t="str">
        <f t="shared" si="3"/>
        <v/>
      </c>
      <c r="W44" s="65">
        <f t="shared" si="4"/>
        <v>0</v>
      </c>
      <c r="X44" s="64">
        <f t="shared" si="5"/>
        <v>0</v>
      </c>
      <c r="Y44" s="64">
        <f t="shared" si="6"/>
        <v>0</v>
      </c>
      <c r="Z44" s="65"/>
      <c r="AA44" s="64">
        <f>COUNTIF(AN43:AN46,CONCATENATE("&gt;=",AN44))</f>
        <v>2</v>
      </c>
      <c r="AB44" s="65" t="str">
        <f>INDEX(T,60,lang)</f>
        <v>Босния ва Герцеговина</v>
      </c>
      <c r="AC44" s="64">
        <f>COUNTIF($U$12:$V$59,"=" &amp; AB44 &amp; "_win")</f>
        <v>0</v>
      </c>
      <c r="AD44" s="64">
        <f>COUNTIF($U$12:$V$59,"=" &amp; AB44 &amp; "_draw")</f>
        <v>0</v>
      </c>
      <c r="AE44" s="64">
        <f>COUNTIF($U$12:$V$59,"=" &amp; AB44 &amp; "_lose")</f>
        <v>0</v>
      </c>
      <c r="AF44" s="64">
        <f>SUMIF($E$12:$E$59,$AB44,$F$12:$F$59) + SUMIF($H$12:$H$59,$AB44,$G$12:$G$59)</f>
        <v>0</v>
      </c>
      <c r="AG44" s="64">
        <f>SUMIF($E$12:$E$59,$AB44,$G$12:$G$59) + SUMIF($H$12:$H$59,$AB44,$F$12:$F$59)</f>
        <v>0</v>
      </c>
      <c r="AH44" s="64">
        <f>(AF44-AG44)*100+AK44*10000+AF44</f>
        <v>0</v>
      </c>
      <c r="AI44" s="64">
        <f>AF44-AG44</f>
        <v>0</v>
      </c>
      <c r="AJ44" s="64">
        <f>(AI44-AI48)/AI47</f>
        <v>0</v>
      </c>
      <c r="AK44" s="64">
        <f>AC44*3+AD44</f>
        <v>0</v>
      </c>
      <c r="AL44" s="64">
        <f>AP44/AP47*1000+AQ44/AQ47*100+AT44/AT47*10+AR44/AR47</f>
        <v>0</v>
      </c>
      <c r="AM44" s="64">
        <f>VLOOKUP(AB44,db_fifarank,2,FALSE)/2000000</f>
        <v>3.9750000000000001E-4</v>
      </c>
      <c r="AN44" s="65">
        <f>1000*AK44/AK47+100*AJ44+10*AF44/AF47+1*AL44/AL47+AM44</f>
        <v>3.9750000000000001E-4</v>
      </c>
      <c r="AO44" s="66" t="str">
        <f>IF(SUM(AC43:AE46)=12,L45,INDEX(T,81,lang))</f>
        <v>2F</v>
      </c>
      <c r="AP44" s="67">
        <f>SUMPRODUCT(($U$12:$U$59=AB44&amp;"_win")*($W$12:$W$59))+SUMPRODUCT(($V$12:$V$59=AB44&amp;"_win")*($W$12:$W$59))</f>
        <v>0</v>
      </c>
      <c r="AQ44" s="68">
        <f>SUMPRODUCT(($U$12:$U$59=AB44&amp;"_draw")*($W$12:$W$59))+SUMPRODUCT(($V$12:$V$59=AB44&amp;"_draw")*($W$12:$W$59))</f>
        <v>0</v>
      </c>
      <c r="AR44" s="68">
        <f>SUMPRODUCT(($E$12:$E$59=AB44)*($W$12:$W$59)*($F$12:$F$59))+SUMPRODUCT(($H$12:$H$59=AB44)*($W$12:$W$59)*($G$12:$G$59))</f>
        <v>0</v>
      </c>
      <c r="AS44" s="68">
        <f>SUMPRODUCT(($E$12:$E$59=AB44)*($W$12:$W$59)*($G$12:$G$59))+SUMPRODUCT(($H$12:$H$59=AB44)*($W$12:$W$59)*($F$12:$F$59))</f>
        <v>0</v>
      </c>
      <c r="AT44" s="68">
        <f>AR44-AS44</f>
        <v>0</v>
      </c>
      <c r="AX44" s="83"/>
      <c r="AY44" s="2"/>
      <c r="AZ44" s="2"/>
      <c r="BA44" s="2"/>
      <c r="BB44" s="133">
        <f>'Anketa-2014'!F45</f>
        <v>0</v>
      </c>
      <c r="BC44" s="133">
        <f>'Anketa-2014'!G45</f>
        <v>0</v>
      </c>
      <c r="BD44" s="133">
        <f t="shared" si="21"/>
        <v>0</v>
      </c>
      <c r="BE44" s="133">
        <f t="shared" si="22"/>
        <v>0</v>
      </c>
      <c r="BF44" s="133">
        <f t="shared" si="23"/>
        <v>1</v>
      </c>
      <c r="BG44" s="133">
        <f t="shared" si="24"/>
        <v>1</v>
      </c>
      <c r="BH44" s="133">
        <f t="shared" si="25"/>
        <v>2</v>
      </c>
      <c r="BI44" s="133" t="str">
        <f t="shared" si="26"/>
        <v>1</v>
      </c>
      <c r="BJ44" s="133" t="str">
        <f t="shared" si="27"/>
        <v>1</v>
      </c>
      <c r="BK44" s="133">
        <f t="shared" si="28"/>
        <v>0</v>
      </c>
      <c r="BL44" s="133">
        <f t="shared" si="29"/>
        <v>0</v>
      </c>
      <c r="BM44" s="133" t="str">
        <f t="shared" si="30"/>
        <v>0</v>
      </c>
      <c r="BN44" s="133" t="str">
        <f t="shared" si="31"/>
        <v>0</v>
      </c>
      <c r="BO44" s="133">
        <f t="shared" si="32"/>
        <v>1</v>
      </c>
      <c r="BP44" s="134" t="str">
        <f t="shared" si="33"/>
        <v>1</v>
      </c>
      <c r="BQ44" s="134" t="str">
        <f t="shared" si="34"/>
        <v>1</v>
      </c>
      <c r="BR44" s="134" t="str">
        <f t="shared" si="35"/>
        <v>0</v>
      </c>
    </row>
    <row r="45" spans="1:70" s="69" customFormat="1" x14ac:dyDescent="0.2">
      <c r="A45" s="89">
        <v>34</v>
      </c>
      <c r="B45" s="90" t="str">
        <f t="shared" si="0"/>
        <v>Душ</v>
      </c>
      <c r="C45" s="91" t="str">
        <f t="shared" si="1"/>
        <v>Июнь 23, 2014</v>
      </c>
      <c r="D45" s="92">
        <f t="shared" si="19"/>
        <v>0.875</v>
      </c>
      <c r="E45" s="93" t="str">
        <f>AB20</f>
        <v>Голландия</v>
      </c>
      <c r="F45" s="54"/>
      <c r="G45" s="55"/>
      <c r="H45" s="100" t="str">
        <f>AB21</f>
        <v>Чили</v>
      </c>
      <c r="I45" s="310">
        <f t="shared" si="20"/>
        <v>3</v>
      </c>
      <c r="J45" s="311"/>
      <c r="K45" s="2"/>
      <c r="L45" s="22" t="str">
        <f>VLOOKUP(2,AA43:AK46,2,FALSE)</f>
        <v>Босния ва Герцеговина</v>
      </c>
      <c r="M45" s="28">
        <f>N45+O45+P45</f>
        <v>0</v>
      </c>
      <c r="N45" s="28">
        <f>VLOOKUP(2,AA43:AK46,3,FALSE)</f>
        <v>0</v>
      </c>
      <c r="O45" s="28">
        <f>VLOOKUP(2,AA43:AK46,4,FALSE)</f>
        <v>0</v>
      </c>
      <c r="P45" s="28">
        <f>VLOOKUP(2,AA43:AK46,5,FALSE)</f>
        <v>0</v>
      </c>
      <c r="Q45" s="28" t="str">
        <f>VLOOKUP(2,AA43:AK46,6,FALSE) &amp; " - " &amp; VLOOKUP(2,AA43:AK46,7,FALSE)</f>
        <v>0 - 0</v>
      </c>
      <c r="R45" s="29">
        <f>N45*3+O45</f>
        <v>0</v>
      </c>
      <c r="S45" s="44"/>
      <c r="T45" s="64">
        <f>DATE(2014,6,23)+TIME(5,0,0)+gmt_delta</f>
        <v>41813.875</v>
      </c>
      <c r="U45" s="70" t="str">
        <f t="shared" si="2"/>
        <v/>
      </c>
      <c r="V45" s="70" t="str">
        <f t="shared" si="3"/>
        <v/>
      </c>
      <c r="W45" s="65">
        <f t="shared" si="4"/>
        <v>0</v>
      </c>
      <c r="X45" s="64">
        <f t="shared" si="5"/>
        <v>0</v>
      </c>
      <c r="Y45" s="64">
        <f t="shared" si="6"/>
        <v>0</v>
      </c>
      <c r="Z45" s="65"/>
      <c r="AA45" s="64">
        <f>COUNTIF(AN43:AN46,CONCATENATE("&gt;=",AN45))</f>
        <v>3</v>
      </c>
      <c r="AB45" s="65" t="str">
        <f>INDEX(T,61,lang)</f>
        <v>Эрон</v>
      </c>
      <c r="AC45" s="64">
        <f>COUNTIF($U$12:$V$59,"=" &amp; AB45 &amp; "_win")</f>
        <v>0</v>
      </c>
      <c r="AD45" s="64">
        <f>COUNTIF($U$12:$V$59,"=" &amp; AB45 &amp; "_draw")</f>
        <v>0</v>
      </c>
      <c r="AE45" s="64">
        <f>COUNTIF($U$12:$V$59,"=" &amp; AB45 &amp; "_lose")</f>
        <v>0</v>
      </c>
      <c r="AF45" s="64">
        <f>SUMIF($E$12:$E$59,$AB45,$F$12:$F$59) + SUMIF($H$12:$H$59,$AB45,$G$12:$G$59)</f>
        <v>0</v>
      </c>
      <c r="AG45" s="64">
        <f>SUMIF($E$12:$E$59,$AB45,$G$12:$G$59) + SUMIF($H$12:$H$59,$AB45,$F$12:$F$59)</f>
        <v>0</v>
      </c>
      <c r="AH45" s="64">
        <f>(AF45-AG45)*100+AK45*10000+AF45</f>
        <v>0</v>
      </c>
      <c r="AI45" s="64">
        <f>AF45-AG45</f>
        <v>0</v>
      </c>
      <c r="AJ45" s="64">
        <f>(AI45-AI48)/AI47</f>
        <v>0</v>
      </c>
      <c r="AK45" s="64">
        <f>AC45*3+AD45</f>
        <v>0</v>
      </c>
      <c r="AL45" s="64">
        <f>AP45/AP47*1000+AQ45/AQ47*100+AT45/AT47*10+AR45/AR47</f>
        <v>0</v>
      </c>
      <c r="AM45" s="64">
        <f>VLOOKUP(AB45,db_fifarank,2,FALSE)/2000000</f>
        <v>3.5750000000000002E-4</v>
      </c>
      <c r="AN45" s="65">
        <f>1000*AK45/AK47+100*AJ45+10*AF45/AF47+1*AL45/AL47+AM45</f>
        <v>3.5750000000000002E-4</v>
      </c>
      <c r="AO45" s="66"/>
      <c r="AP45" s="67">
        <f>SUMPRODUCT(($U$12:$U$59=AB45&amp;"_win")*($W$12:$W$59))+SUMPRODUCT(($V$12:$V$59=AB45&amp;"_win")*($W$12:$W$59))</f>
        <v>0</v>
      </c>
      <c r="AQ45" s="68">
        <f>SUMPRODUCT(($U$12:$U$59=AB45&amp;"_draw")*($W$12:$W$59))+SUMPRODUCT(($V$12:$V$59=AB45&amp;"_draw")*($W$12:$W$59))</f>
        <v>0</v>
      </c>
      <c r="AR45" s="68">
        <f>SUMPRODUCT(($E$12:$E$59=AB45)*($W$12:$W$59)*($F$12:$F$59))+SUMPRODUCT(($H$12:$H$59=AB45)*($W$12:$W$59)*($G$12:$G$59))</f>
        <v>0</v>
      </c>
      <c r="AS45" s="68">
        <f>SUMPRODUCT(($E$12:$E$59=AB45)*($W$12:$W$59)*($G$12:$G$59))+SUMPRODUCT(($H$12:$H$59=AB45)*($W$12:$W$59)*($F$12:$F$59))</f>
        <v>0</v>
      </c>
      <c r="AT45" s="68">
        <f>AR45-AS45</f>
        <v>0</v>
      </c>
      <c r="AX45" s="83"/>
      <c r="AY45" s="2"/>
      <c r="AZ45" s="2"/>
      <c r="BA45" s="2"/>
      <c r="BB45" s="133">
        <f>'Anketa-2014'!F46</f>
        <v>0</v>
      </c>
      <c r="BC45" s="133">
        <f>'Anketa-2014'!G46</f>
        <v>0</v>
      </c>
      <c r="BD45" s="133">
        <f t="shared" si="21"/>
        <v>0</v>
      </c>
      <c r="BE45" s="133">
        <f t="shared" si="22"/>
        <v>0</v>
      </c>
      <c r="BF45" s="133">
        <f t="shared" si="23"/>
        <v>1</v>
      </c>
      <c r="BG45" s="133">
        <f t="shared" si="24"/>
        <v>1</v>
      </c>
      <c r="BH45" s="133">
        <f t="shared" si="25"/>
        <v>2</v>
      </c>
      <c r="BI45" s="133" t="str">
        <f t="shared" si="26"/>
        <v>1</v>
      </c>
      <c r="BJ45" s="133" t="str">
        <f t="shared" si="27"/>
        <v>1</v>
      </c>
      <c r="BK45" s="133">
        <f t="shared" si="28"/>
        <v>0</v>
      </c>
      <c r="BL45" s="133">
        <f t="shared" si="29"/>
        <v>0</v>
      </c>
      <c r="BM45" s="133" t="str">
        <f t="shared" si="30"/>
        <v>0</v>
      </c>
      <c r="BN45" s="133" t="str">
        <f t="shared" si="31"/>
        <v>0</v>
      </c>
      <c r="BO45" s="133">
        <f t="shared" si="32"/>
        <v>1</v>
      </c>
      <c r="BP45" s="134" t="str">
        <f t="shared" si="33"/>
        <v>1</v>
      </c>
      <c r="BQ45" s="134" t="str">
        <f t="shared" si="34"/>
        <v>1</v>
      </c>
      <c r="BR45" s="134" t="str">
        <f t="shared" si="35"/>
        <v>0</v>
      </c>
    </row>
    <row r="46" spans="1:70" s="69" customFormat="1" x14ac:dyDescent="0.2">
      <c r="A46" s="89">
        <v>35</v>
      </c>
      <c r="B46" s="90" t="str">
        <f t="shared" si="0"/>
        <v>Сеш</v>
      </c>
      <c r="C46" s="91" t="str">
        <f t="shared" si="1"/>
        <v>Июнь 24, 2014</v>
      </c>
      <c r="D46" s="92">
        <f t="shared" si="19"/>
        <v>4.1666666666666664E-2</v>
      </c>
      <c r="E46" s="93" t="str">
        <f>AB16</f>
        <v>Камерун</v>
      </c>
      <c r="F46" s="54"/>
      <c r="G46" s="55"/>
      <c r="H46" s="100" t="str">
        <f>AB13</f>
        <v>Бразилия</v>
      </c>
      <c r="I46" s="310">
        <f t="shared" si="20"/>
        <v>3</v>
      </c>
      <c r="J46" s="311"/>
      <c r="K46" s="2"/>
      <c r="L46" s="22" t="str">
        <f>VLOOKUP(3,AA43:AK46,2,FALSE)</f>
        <v>Эрон</v>
      </c>
      <c r="M46" s="28">
        <f>N46+O46+P46</f>
        <v>0</v>
      </c>
      <c r="N46" s="28">
        <f>VLOOKUP(3,AA43:AK46,3,FALSE)</f>
        <v>0</v>
      </c>
      <c r="O46" s="28">
        <f>VLOOKUP(3,AA43:AK46,4,FALSE)</f>
        <v>0</v>
      </c>
      <c r="P46" s="28">
        <f>VLOOKUP(3,AA43:AK46,5,FALSE)</f>
        <v>0</v>
      </c>
      <c r="Q46" s="28" t="str">
        <f>VLOOKUP(3,AA43:AK46,6,FALSE) &amp; " - " &amp; VLOOKUP(3,AA43:AK46,7,FALSE)</f>
        <v>0 - 0</v>
      </c>
      <c r="R46" s="29">
        <f>N46*3+O46</f>
        <v>0</v>
      </c>
      <c r="S46" s="44"/>
      <c r="T46" s="64">
        <f>DATE(2014,6,23)+TIME(9,0,0)+gmt_delta</f>
        <v>41814.041666666664</v>
      </c>
      <c r="U46" s="70" t="str">
        <f t="shared" si="2"/>
        <v/>
      </c>
      <c r="V46" s="70" t="str">
        <f t="shared" si="3"/>
        <v/>
      </c>
      <c r="W46" s="65">
        <f t="shared" si="4"/>
        <v>0</v>
      </c>
      <c r="X46" s="64">
        <f t="shared" si="5"/>
        <v>0</v>
      </c>
      <c r="Y46" s="64">
        <f t="shared" si="6"/>
        <v>0</v>
      </c>
      <c r="Z46" s="65"/>
      <c r="AA46" s="64">
        <f>COUNTIF(AN43:AN46,CONCATENATE("&gt;=",AN46))</f>
        <v>4</v>
      </c>
      <c r="AB46" s="65" t="str">
        <f>INDEX(T,43,lang)</f>
        <v>Нигерия</v>
      </c>
      <c r="AC46" s="64">
        <f>COUNTIF($U$12:$V$59,"=" &amp; AB46 &amp; "_win")</f>
        <v>0</v>
      </c>
      <c r="AD46" s="64">
        <f>COUNTIF($U$12:$V$59,"=" &amp; AB46 &amp; "_draw")</f>
        <v>0</v>
      </c>
      <c r="AE46" s="64">
        <f>COUNTIF($U$12:$V$59,"=" &amp; AB46 &amp; "_lose")</f>
        <v>0</v>
      </c>
      <c r="AF46" s="64">
        <f>SUMIF($E$12:$E$59,$AB46,$F$12:$F$59) + SUMIF($H$12:$H$59,$AB46,$G$12:$G$59)</f>
        <v>0</v>
      </c>
      <c r="AG46" s="64">
        <f>SUMIF($E$12:$E$59,$AB46,$G$12:$G$59) + SUMIF($H$12:$H$59,$AB46,$F$12:$F$59)</f>
        <v>0</v>
      </c>
      <c r="AH46" s="64">
        <f>(AF46-AG46)*100+AK46*10000+AF46</f>
        <v>0</v>
      </c>
      <c r="AI46" s="64">
        <f>AF46-AG46</f>
        <v>0</v>
      </c>
      <c r="AJ46" s="64">
        <f>(AI46-AI48)/AI47</f>
        <v>0</v>
      </c>
      <c r="AK46" s="64">
        <f>AC46*3+AD46</f>
        <v>0</v>
      </c>
      <c r="AL46" s="64">
        <f>AP46/AP47*1000+AQ46/AQ47*100+AT46/AT47*10+AR46/AR47</f>
        <v>0</v>
      </c>
      <c r="AM46" s="64">
        <f>VLOOKUP(AB46,db_fifarank,2,FALSE)/2000000</f>
        <v>3.1550000000000003E-4</v>
      </c>
      <c r="AN46" s="65">
        <f>1000*AK46/AK47+100*AJ46+10*AF46/AF47+1*AL46/AL47+AM46</f>
        <v>3.1550000000000003E-4</v>
      </c>
      <c r="AO46" s="66"/>
      <c r="AP46" s="67">
        <f>SUMPRODUCT(($U$12:$U$59=AB46&amp;"_win")*($W$12:$W$59))+SUMPRODUCT(($V$12:$V$59=AB46&amp;"_win")*($W$12:$W$59))</f>
        <v>0</v>
      </c>
      <c r="AQ46" s="68">
        <f>SUMPRODUCT(($U$12:$U$59=AB46&amp;"_draw")*($W$12:$W$59))+SUMPRODUCT(($V$12:$V$59=AB46&amp;"_draw")*($W$12:$W$59))</f>
        <v>0</v>
      </c>
      <c r="AR46" s="68">
        <f>SUMPRODUCT(($E$12:$E$59=AB46)*($W$12:$W$59)*($F$12:$F$59))+SUMPRODUCT(($H$12:$H$59=AB46)*($W$12:$W$59)*($G$12:$G$59))</f>
        <v>0</v>
      </c>
      <c r="AS46" s="68">
        <f>SUMPRODUCT(($E$12:$E$59=AB46)*($W$12:$W$59)*($G$12:$G$59))+SUMPRODUCT(($H$12:$H$59=AB46)*($W$12:$W$59)*($F$12:$F$59))</f>
        <v>0</v>
      </c>
      <c r="AT46" s="68">
        <f>AR46-AS46</f>
        <v>0</v>
      </c>
      <c r="AX46" s="83"/>
      <c r="AY46" s="2"/>
      <c r="AZ46" s="2"/>
      <c r="BA46" s="2"/>
      <c r="BB46" s="133">
        <f>'Anketa-2014'!F47</f>
        <v>0</v>
      </c>
      <c r="BC46" s="133">
        <f>'Anketa-2014'!G47</f>
        <v>0</v>
      </c>
      <c r="BD46" s="133">
        <f t="shared" si="21"/>
        <v>0</v>
      </c>
      <c r="BE46" s="133">
        <f t="shared" si="22"/>
        <v>0</v>
      </c>
      <c r="BF46" s="133">
        <f t="shared" si="23"/>
        <v>1</v>
      </c>
      <c r="BG46" s="133">
        <f t="shared" si="24"/>
        <v>1</v>
      </c>
      <c r="BH46" s="133">
        <f t="shared" si="25"/>
        <v>2</v>
      </c>
      <c r="BI46" s="133" t="str">
        <f t="shared" si="26"/>
        <v>1</v>
      </c>
      <c r="BJ46" s="133" t="str">
        <f t="shared" si="27"/>
        <v>1</v>
      </c>
      <c r="BK46" s="133">
        <f t="shared" si="28"/>
        <v>0</v>
      </c>
      <c r="BL46" s="133">
        <f t="shared" si="29"/>
        <v>0</v>
      </c>
      <c r="BM46" s="133" t="str">
        <f t="shared" si="30"/>
        <v>0</v>
      </c>
      <c r="BN46" s="133" t="str">
        <f t="shared" si="31"/>
        <v>0</v>
      </c>
      <c r="BO46" s="133">
        <f t="shared" si="32"/>
        <v>1</v>
      </c>
      <c r="BP46" s="134" t="str">
        <f t="shared" si="33"/>
        <v>1</v>
      </c>
      <c r="BQ46" s="134" t="str">
        <f t="shared" si="34"/>
        <v>1</v>
      </c>
      <c r="BR46" s="134" t="str">
        <f t="shared" si="35"/>
        <v>0</v>
      </c>
    </row>
    <row r="47" spans="1:70" s="69" customFormat="1" x14ac:dyDescent="0.2">
      <c r="A47" s="89">
        <v>36</v>
      </c>
      <c r="B47" s="90" t="str">
        <f t="shared" si="0"/>
        <v>Сеш</v>
      </c>
      <c r="C47" s="91" t="str">
        <f t="shared" si="1"/>
        <v>Июнь 24, 2014</v>
      </c>
      <c r="D47" s="92">
        <f t="shared" si="19"/>
        <v>4.1666666666666664E-2</v>
      </c>
      <c r="E47" s="93" t="str">
        <f>AB14</f>
        <v>Хорватия</v>
      </c>
      <c r="F47" s="54"/>
      <c r="G47" s="55"/>
      <c r="H47" s="100" t="str">
        <f>AB15</f>
        <v>Мексика</v>
      </c>
      <c r="I47" s="310">
        <f t="shared" si="20"/>
        <v>3</v>
      </c>
      <c r="J47" s="311"/>
      <c r="K47" s="2"/>
      <c r="L47" s="23" t="str">
        <f>VLOOKUP(4,AA43:AK46,2,FALSE)</f>
        <v>Нигерия</v>
      </c>
      <c r="M47" s="30">
        <f>N47+O47+P47</f>
        <v>0</v>
      </c>
      <c r="N47" s="30">
        <f>VLOOKUP(4,AA43:AK46,3,FALSE)</f>
        <v>0</v>
      </c>
      <c r="O47" s="30">
        <f>VLOOKUP(4,AA43:AK46,4,FALSE)</f>
        <v>0</v>
      </c>
      <c r="P47" s="30">
        <f>VLOOKUP(4,AA43:AK46,5,FALSE)</f>
        <v>0</v>
      </c>
      <c r="Q47" s="30" t="str">
        <f>VLOOKUP(4,AA43:AK46,6,FALSE) &amp; " - " &amp; VLOOKUP(4,AA43:AK46,7,FALSE)</f>
        <v>0 - 0</v>
      </c>
      <c r="R47" s="31">
        <f>N47*3+O47</f>
        <v>0</v>
      </c>
      <c r="S47" s="44"/>
      <c r="T47" s="64">
        <f>DATE(2014,6,23)+TIME(9,0,0)+gmt_delta</f>
        <v>41814.041666666664</v>
      </c>
      <c r="U47" s="70" t="str">
        <f t="shared" si="2"/>
        <v/>
      </c>
      <c r="V47" s="70" t="str">
        <f t="shared" si="3"/>
        <v/>
      </c>
      <c r="W47" s="65">
        <f t="shared" si="4"/>
        <v>0</v>
      </c>
      <c r="X47" s="64">
        <f t="shared" si="5"/>
        <v>0</v>
      </c>
      <c r="Y47" s="64">
        <f t="shared" si="6"/>
        <v>0</v>
      </c>
      <c r="Z47" s="65"/>
      <c r="AA47" s="64"/>
      <c r="AB47" s="65"/>
      <c r="AC47" s="64">
        <f t="shared" ref="AC47:AL47" si="41">MAX(AC43:AC46)-MIN(AC43:AC46)+1</f>
        <v>1</v>
      </c>
      <c r="AD47" s="64">
        <f t="shared" si="41"/>
        <v>1</v>
      </c>
      <c r="AE47" s="64">
        <f t="shared" si="41"/>
        <v>1</v>
      </c>
      <c r="AF47" s="64">
        <f t="shared" si="41"/>
        <v>1</v>
      </c>
      <c r="AG47" s="64">
        <f t="shared" si="41"/>
        <v>1</v>
      </c>
      <c r="AH47" s="64">
        <f>MAX(AH43:AH46)-AH48+1</f>
        <v>1</v>
      </c>
      <c r="AI47" s="64">
        <f>MAX(AI43:AI46)-AI48+1</f>
        <v>1</v>
      </c>
      <c r="AJ47" s="64"/>
      <c r="AK47" s="64">
        <f t="shared" si="41"/>
        <v>1</v>
      </c>
      <c r="AL47" s="64">
        <f t="shared" si="41"/>
        <v>1</v>
      </c>
      <c r="AM47" s="65"/>
      <c r="AN47" s="65"/>
      <c r="AO47" s="66"/>
      <c r="AP47" s="64">
        <f>MAX(AP43:AP46)-MIN(AP43:AP46)+1</f>
        <v>1</v>
      </c>
      <c r="AQ47" s="64">
        <f>MAX(AQ43:AQ46)-MIN(AQ43:AQ46)+1</f>
        <v>1</v>
      </c>
      <c r="AR47" s="64">
        <f>MAX(AR43:AR46)-MIN(AR43:AR46)+1</f>
        <v>1</v>
      </c>
      <c r="AS47" s="64">
        <f>MAX(AS43:AS46)-MIN(AS43:AS46)+1</f>
        <v>1</v>
      </c>
      <c r="AT47" s="64">
        <f>MAX(AT43:AT46)-MIN(AT43:AT46)+1</f>
        <v>1</v>
      </c>
      <c r="AX47" s="83"/>
      <c r="AY47" s="2"/>
      <c r="AZ47" s="2"/>
      <c r="BA47" s="2"/>
      <c r="BB47" s="133">
        <f>'Anketa-2014'!F48</f>
        <v>0</v>
      </c>
      <c r="BC47" s="133">
        <f>'Anketa-2014'!G48</f>
        <v>0</v>
      </c>
      <c r="BD47" s="133">
        <f t="shared" si="21"/>
        <v>0</v>
      </c>
      <c r="BE47" s="133">
        <f t="shared" si="22"/>
        <v>0</v>
      </c>
      <c r="BF47" s="133">
        <f t="shared" si="23"/>
        <v>1</v>
      </c>
      <c r="BG47" s="133">
        <f t="shared" si="24"/>
        <v>1</v>
      </c>
      <c r="BH47" s="133">
        <f t="shared" si="25"/>
        <v>2</v>
      </c>
      <c r="BI47" s="133" t="str">
        <f t="shared" si="26"/>
        <v>1</v>
      </c>
      <c r="BJ47" s="133" t="str">
        <f t="shared" si="27"/>
        <v>1</v>
      </c>
      <c r="BK47" s="133">
        <f t="shared" si="28"/>
        <v>0</v>
      </c>
      <c r="BL47" s="133">
        <f t="shared" si="29"/>
        <v>0</v>
      </c>
      <c r="BM47" s="133" t="str">
        <f t="shared" si="30"/>
        <v>0</v>
      </c>
      <c r="BN47" s="133" t="str">
        <f t="shared" si="31"/>
        <v>0</v>
      </c>
      <c r="BO47" s="133">
        <f t="shared" si="32"/>
        <v>1</v>
      </c>
      <c r="BP47" s="134" t="str">
        <f t="shared" si="33"/>
        <v>1</v>
      </c>
      <c r="BQ47" s="134" t="str">
        <f t="shared" si="34"/>
        <v>1</v>
      </c>
      <c r="BR47" s="134" t="str">
        <f t="shared" si="35"/>
        <v>0</v>
      </c>
    </row>
    <row r="48" spans="1:70" s="69" customFormat="1" x14ac:dyDescent="0.2">
      <c r="A48" s="89">
        <v>37</v>
      </c>
      <c r="B48" s="90" t="str">
        <f t="shared" si="0"/>
        <v>Сеш</v>
      </c>
      <c r="C48" s="91" t="str">
        <f t="shared" si="1"/>
        <v>Июнь 24, 2014</v>
      </c>
      <c r="D48" s="92">
        <f t="shared" si="19"/>
        <v>0.875</v>
      </c>
      <c r="E48" s="93" t="str">
        <f>AB34</f>
        <v>Италия</v>
      </c>
      <c r="F48" s="54"/>
      <c r="G48" s="55"/>
      <c r="H48" s="100" t="str">
        <f>AB31</f>
        <v>Уругвай</v>
      </c>
      <c r="I48" s="310">
        <f t="shared" si="20"/>
        <v>3</v>
      </c>
      <c r="J48" s="311"/>
      <c r="K48" s="2"/>
      <c r="L48" s="24"/>
      <c r="M48" s="25"/>
      <c r="N48" s="25"/>
      <c r="O48" s="25"/>
      <c r="P48" s="25"/>
      <c r="Q48" s="25"/>
      <c r="R48" s="25"/>
      <c r="S48" s="44"/>
      <c r="T48" s="64">
        <f>DATE(2014,6,24)+TIME(5,0,0)+gmt_delta</f>
        <v>41814.875</v>
      </c>
      <c r="U48" s="70" t="str">
        <f t="shared" si="2"/>
        <v/>
      </c>
      <c r="V48" s="70" t="str">
        <f t="shared" si="3"/>
        <v/>
      </c>
      <c r="W48" s="65">
        <f t="shared" si="4"/>
        <v>0</v>
      </c>
      <c r="X48" s="64">
        <f t="shared" si="5"/>
        <v>0</v>
      </c>
      <c r="Y48" s="64">
        <f t="shared" si="6"/>
        <v>0</v>
      </c>
      <c r="Z48" s="65"/>
      <c r="AA48" s="64"/>
      <c r="AB48" s="65"/>
      <c r="AC48" s="64"/>
      <c r="AD48" s="64"/>
      <c r="AE48" s="64"/>
      <c r="AF48" s="64"/>
      <c r="AG48" s="64"/>
      <c r="AH48" s="64">
        <f>MIN(AH43:AH46)</f>
        <v>0</v>
      </c>
      <c r="AI48" s="64">
        <f>MIN(AI43:AI46)</f>
        <v>0</v>
      </c>
      <c r="AJ48" s="64"/>
      <c r="AK48" s="64"/>
      <c r="AL48" s="64"/>
      <c r="AM48" s="65"/>
      <c r="AN48" s="65"/>
      <c r="AO48" s="66"/>
      <c r="AP48" s="67"/>
      <c r="AQ48" s="68"/>
      <c r="AR48" s="68"/>
      <c r="AS48" s="68"/>
      <c r="AT48" s="68"/>
      <c r="AX48" s="83"/>
      <c r="AY48" s="2"/>
      <c r="AZ48" s="2"/>
      <c r="BA48" s="2"/>
      <c r="BB48" s="133">
        <f>'Anketa-2014'!F49</f>
        <v>0</v>
      </c>
      <c r="BC48" s="133">
        <f>'Anketa-2014'!G49</f>
        <v>0</v>
      </c>
      <c r="BD48" s="133">
        <f t="shared" si="21"/>
        <v>0</v>
      </c>
      <c r="BE48" s="133">
        <f t="shared" si="22"/>
        <v>0</v>
      </c>
      <c r="BF48" s="133">
        <f t="shared" si="23"/>
        <v>1</v>
      </c>
      <c r="BG48" s="133">
        <f t="shared" si="24"/>
        <v>1</v>
      </c>
      <c r="BH48" s="133">
        <f t="shared" si="25"/>
        <v>2</v>
      </c>
      <c r="BI48" s="133" t="str">
        <f t="shared" si="26"/>
        <v>1</v>
      </c>
      <c r="BJ48" s="133" t="str">
        <f t="shared" si="27"/>
        <v>1</v>
      </c>
      <c r="BK48" s="133">
        <f t="shared" si="28"/>
        <v>0</v>
      </c>
      <c r="BL48" s="133">
        <f t="shared" si="29"/>
        <v>0</v>
      </c>
      <c r="BM48" s="133" t="str">
        <f t="shared" si="30"/>
        <v>0</v>
      </c>
      <c r="BN48" s="133" t="str">
        <f t="shared" si="31"/>
        <v>0</v>
      </c>
      <c r="BO48" s="133">
        <f t="shared" si="32"/>
        <v>1</v>
      </c>
      <c r="BP48" s="134" t="str">
        <f t="shared" si="33"/>
        <v>1</v>
      </c>
      <c r="BQ48" s="134" t="str">
        <f t="shared" si="34"/>
        <v>1</v>
      </c>
      <c r="BR48" s="134" t="str">
        <f t="shared" si="35"/>
        <v>0</v>
      </c>
    </row>
    <row r="49" spans="1:70" s="69" customFormat="1" x14ac:dyDescent="0.2">
      <c r="A49" s="89">
        <v>38</v>
      </c>
      <c r="B49" s="90" t="str">
        <f t="shared" si="0"/>
        <v>Сеш</v>
      </c>
      <c r="C49" s="91" t="str">
        <f t="shared" si="1"/>
        <v>Июнь 24, 2014</v>
      </c>
      <c r="D49" s="92">
        <f t="shared" si="19"/>
        <v>0.875</v>
      </c>
      <c r="E49" s="93" t="str">
        <f>AB32</f>
        <v>Коста-Рика</v>
      </c>
      <c r="F49" s="54"/>
      <c r="G49" s="55"/>
      <c r="H49" s="100" t="str">
        <f>AB33</f>
        <v>Англия</v>
      </c>
      <c r="I49" s="310">
        <f t="shared" si="20"/>
        <v>3</v>
      </c>
      <c r="J49" s="311"/>
      <c r="K49" s="2"/>
      <c r="L49" s="52" t="str">
        <f>INDEX(T,9,lang) &amp; " " &amp; "G"</f>
        <v>Гуруҳ G</v>
      </c>
      <c r="M49" s="53" t="str">
        <f>INDEX(T,10,lang)</f>
        <v>Ў</v>
      </c>
      <c r="N49" s="53" t="str">
        <f>INDEX(T,11,lang)</f>
        <v>Ю</v>
      </c>
      <c r="O49" s="53" t="str">
        <f>INDEX(T,12,lang)</f>
        <v>Д</v>
      </c>
      <c r="P49" s="53" t="str">
        <f>INDEX(T,13,lang)</f>
        <v>М</v>
      </c>
      <c r="Q49" s="53" t="str">
        <f>INDEX(T,14,lang)</f>
        <v>Тўп. нисб.</v>
      </c>
      <c r="R49" s="53" t="str">
        <f>INDEX(T,15,lang)</f>
        <v>Очколар</v>
      </c>
      <c r="S49" s="44"/>
      <c r="T49" s="64">
        <f>DATE(2014,6,24)+TIME(5,0,0)+gmt_delta</f>
        <v>41814.875</v>
      </c>
      <c r="U49" s="70" t="str">
        <f t="shared" si="2"/>
        <v/>
      </c>
      <c r="V49" s="70" t="str">
        <f t="shared" si="3"/>
        <v/>
      </c>
      <c r="W49" s="65">
        <f t="shared" si="4"/>
        <v>0</v>
      </c>
      <c r="X49" s="64">
        <f t="shared" si="5"/>
        <v>0</v>
      </c>
      <c r="Y49" s="64">
        <f t="shared" si="6"/>
        <v>0</v>
      </c>
      <c r="Z49" s="65"/>
      <c r="AA49" s="64">
        <f>COUNTIF(AN49:AN52,CONCATENATE("&gt;=",AN49))</f>
        <v>1</v>
      </c>
      <c r="AB49" s="65" t="str">
        <f>INDEX(T,50,lang)</f>
        <v>Германия</v>
      </c>
      <c r="AC49" s="64">
        <f>COUNTIF($U$12:$V$59,"=" &amp; AB49 &amp; "_win")</f>
        <v>0</v>
      </c>
      <c r="AD49" s="64">
        <f>COUNTIF($U$12:$V$59,"=" &amp; AB49 &amp; "_draw")</f>
        <v>0</v>
      </c>
      <c r="AE49" s="64">
        <f>COUNTIF($U$12:$V$59,"=" &amp; AB49 &amp; "_lose")</f>
        <v>0</v>
      </c>
      <c r="AF49" s="64">
        <f>SUMIF($E$12:$E$59,$AB49,$F$12:$F$59) + SUMIF($H$12:$H$59,$AB49,$G$12:$G$59)</f>
        <v>0</v>
      </c>
      <c r="AG49" s="64">
        <f>SUMIF($E$12:$E$59,$AB49,$G$12:$G$59) + SUMIF($H$12:$H$59,$AB49,$F$12:$F$59)</f>
        <v>0</v>
      </c>
      <c r="AH49" s="64">
        <f>(AF49-AG49)*100+AK49*10000+AF49</f>
        <v>0</v>
      </c>
      <c r="AI49" s="64">
        <f>AF49-AG49</f>
        <v>0</v>
      </c>
      <c r="AJ49" s="64">
        <f>(AI49-AI54)/AI53</f>
        <v>0</v>
      </c>
      <c r="AK49" s="64">
        <f>AC49*3+AD49</f>
        <v>0</v>
      </c>
      <c r="AL49" s="64">
        <f>AP49/AP53*1000+AQ49/AQ53*100+AT49/AT53*10+AR49/AR53</f>
        <v>0</v>
      </c>
      <c r="AM49" s="64">
        <f>VLOOKUP(AB49,db_fifarank,2,FALSE)/2000000</f>
        <v>6.7000000000000002E-4</v>
      </c>
      <c r="AN49" s="65">
        <f>1000*AK49/AK53+100*AJ49+10*AF49/AF53+1*AL49/AL53+AM49</f>
        <v>6.7000000000000002E-4</v>
      </c>
      <c r="AO49" s="66" t="str">
        <f>IF(SUM(AC49:AE52)=12,L50,INDEX(T,82,lang))</f>
        <v>1G</v>
      </c>
      <c r="AP49" s="67">
        <f>SUMPRODUCT(($U$12:$U$59=AB49&amp;"_win")*($W$12:$W$59))+SUMPRODUCT(($V$12:$V$59=AB49&amp;"_win")*($W$12:$W$59))</f>
        <v>0</v>
      </c>
      <c r="AQ49" s="68">
        <f>SUMPRODUCT(($U$12:$U$59=AB49&amp;"_draw")*($W$12:$W$59))+SUMPRODUCT(($V$12:$V$59=AB49&amp;"_draw")*($W$12:$W$59))</f>
        <v>0</v>
      </c>
      <c r="AR49" s="68">
        <f>SUMPRODUCT(($E$12:$E$59=AB49)*($W$12:$W$59)*($F$12:$F$59))+SUMPRODUCT(($H$12:$H$59=AB49)*($W$12:$W$59)*($G$12:$G$59))</f>
        <v>0</v>
      </c>
      <c r="AS49" s="68">
        <f>SUMPRODUCT(($E$12:$E$59=AB49)*($W$12:$W$59)*($G$12:$G$59))+SUMPRODUCT(($H$12:$H$59=AB49)*($W$12:$W$59)*($F$12:$F$59))</f>
        <v>0</v>
      </c>
      <c r="AT49" s="68">
        <f>AR49-AS49</f>
        <v>0</v>
      </c>
      <c r="AX49" s="83"/>
      <c r="AY49" s="2"/>
      <c r="AZ49" s="2"/>
      <c r="BA49" s="2"/>
      <c r="BB49" s="133">
        <f>'Anketa-2014'!F50</f>
        <v>0</v>
      </c>
      <c r="BC49" s="133">
        <f>'Anketa-2014'!G50</f>
        <v>0</v>
      </c>
      <c r="BD49" s="133">
        <f t="shared" si="21"/>
        <v>0</v>
      </c>
      <c r="BE49" s="133">
        <f t="shared" si="22"/>
        <v>0</v>
      </c>
      <c r="BF49" s="133">
        <f t="shared" si="23"/>
        <v>1</v>
      </c>
      <c r="BG49" s="133">
        <f t="shared" si="24"/>
        <v>1</v>
      </c>
      <c r="BH49" s="133">
        <f t="shared" si="25"/>
        <v>2</v>
      </c>
      <c r="BI49" s="133" t="str">
        <f t="shared" si="26"/>
        <v>1</v>
      </c>
      <c r="BJ49" s="133" t="str">
        <f t="shared" si="27"/>
        <v>1</v>
      </c>
      <c r="BK49" s="133">
        <f t="shared" si="28"/>
        <v>0</v>
      </c>
      <c r="BL49" s="133">
        <f t="shared" si="29"/>
        <v>0</v>
      </c>
      <c r="BM49" s="133" t="str">
        <f t="shared" si="30"/>
        <v>0</v>
      </c>
      <c r="BN49" s="133" t="str">
        <f t="shared" si="31"/>
        <v>0</v>
      </c>
      <c r="BO49" s="133">
        <f t="shared" si="32"/>
        <v>1</v>
      </c>
      <c r="BP49" s="134" t="str">
        <f t="shared" si="33"/>
        <v>1</v>
      </c>
      <c r="BQ49" s="134" t="str">
        <f t="shared" si="34"/>
        <v>1</v>
      </c>
      <c r="BR49" s="134" t="str">
        <f t="shared" si="35"/>
        <v>0</v>
      </c>
    </row>
    <row r="50" spans="1:70" s="69" customFormat="1" x14ac:dyDescent="0.2">
      <c r="A50" s="89">
        <v>39</v>
      </c>
      <c r="B50" s="90" t="str">
        <f t="shared" si="0"/>
        <v>Чор</v>
      </c>
      <c r="C50" s="91" t="str">
        <f t="shared" si="1"/>
        <v>Июнь 25, 2014</v>
      </c>
      <c r="D50" s="92">
        <f t="shared" si="19"/>
        <v>4.1666666666666664E-2</v>
      </c>
      <c r="E50" s="93" t="str">
        <f>AB28</f>
        <v>Япония</v>
      </c>
      <c r="F50" s="54"/>
      <c r="G50" s="55"/>
      <c r="H50" s="100" t="str">
        <f>AB25</f>
        <v>Колумбия</v>
      </c>
      <c r="I50" s="310">
        <f t="shared" si="20"/>
        <v>3</v>
      </c>
      <c r="J50" s="311"/>
      <c r="K50" s="2"/>
      <c r="L50" s="21" t="str">
        <f>VLOOKUP(1,AA49:AK52,2,FALSE)</f>
        <v>Германия</v>
      </c>
      <c r="M50" s="26">
        <f>N50+O50+P50</f>
        <v>0</v>
      </c>
      <c r="N50" s="26">
        <f>VLOOKUP(1,AA49:AK52,3,FALSE)</f>
        <v>0</v>
      </c>
      <c r="O50" s="26">
        <f>VLOOKUP(1,AA49:AK52,4,FALSE)</f>
        <v>0</v>
      </c>
      <c r="P50" s="26">
        <f>VLOOKUP(1,AA49:AK52,5,FALSE)</f>
        <v>0</v>
      </c>
      <c r="Q50" s="26" t="str">
        <f>VLOOKUP(1,AA49:AK52,6,FALSE) &amp; " - " &amp; VLOOKUP(1,AA49:AK52,7,FALSE)</f>
        <v>0 - 0</v>
      </c>
      <c r="R50" s="27">
        <f>N50*3+O50</f>
        <v>0</v>
      </c>
      <c r="S50" s="44"/>
      <c r="T50" s="64">
        <f>DATE(2014,6,24)+TIME(9,0,0)+gmt_delta</f>
        <v>41815.041666666664</v>
      </c>
      <c r="U50" s="70" t="str">
        <f t="shared" si="2"/>
        <v/>
      </c>
      <c r="V50" s="70" t="str">
        <f t="shared" si="3"/>
        <v/>
      </c>
      <c r="W50" s="65">
        <f t="shared" si="4"/>
        <v>0</v>
      </c>
      <c r="X50" s="64">
        <f t="shared" si="5"/>
        <v>0</v>
      </c>
      <c r="Y50" s="64">
        <f t="shared" si="6"/>
        <v>0</v>
      </c>
      <c r="Z50" s="65"/>
      <c r="AA50" s="64">
        <f>COUNTIF(AN49:AN52,CONCATENATE("&gt;=",AN50))</f>
        <v>2</v>
      </c>
      <c r="AB50" s="65" t="str">
        <f>INDEX(T,65,lang)</f>
        <v>Португалия</v>
      </c>
      <c r="AC50" s="64">
        <f>COUNTIF($U$12:$V$59,"=" &amp; AB50 &amp; "_win")</f>
        <v>0</v>
      </c>
      <c r="AD50" s="64">
        <f>COUNTIF($U$12:$V$59,"=" &amp; AB50 &amp; "_draw")</f>
        <v>0</v>
      </c>
      <c r="AE50" s="64">
        <f>COUNTIF($U$12:$V$59,"=" &amp; AB50 &amp; "_lose")</f>
        <v>0</v>
      </c>
      <c r="AF50" s="64">
        <f>SUMIF($E$12:$E$59,$AB50,$F$12:$F$59) + SUMIF($H$12:$H$59,$AB50,$G$12:$G$59)</f>
        <v>0</v>
      </c>
      <c r="AG50" s="64">
        <f>SUMIF($E$12:$E$59,$AB50,$G$12:$G$59) + SUMIF($H$12:$H$59,$AB50,$F$12:$F$59)</f>
        <v>0</v>
      </c>
      <c r="AH50" s="64">
        <f>(AF50-AG50)*100+AK50*10000+AF50</f>
        <v>0</v>
      </c>
      <c r="AI50" s="64">
        <f>AF50-AG50</f>
        <v>0</v>
      </c>
      <c r="AJ50" s="64">
        <f>(AI50-AI54)/AI53</f>
        <v>0</v>
      </c>
      <c r="AK50" s="64">
        <f>AC50*3+AD50</f>
        <v>0</v>
      </c>
      <c r="AL50" s="64">
        <f>AP50/AP53*1000+AQ50/AQ53*100+AT50/AT53*10+AR50/AR53</f>
        <v>0</v>
      </c>
      <c r="AM50" s="64">
        <f>VLOOKUP(AB50,db_fifarank,2,FALSE)/2000000</f>
        <v>6.2250000000000001E-4</v>
      </c>
      <c r="AN50" s="65">
        <f>1000*AK50/AK53+100*AJ50+10*AF50/AF53+1*AL50/AL53+AM50</f>
        <v>6.2250000000000001E-4</v>
      </c>
      <c r="AO50" s="66" t="str">
        <f>IF(SUM(AC49:AE52)=12,L51,INDEX(T,83,lang))</f>
        <v>2G</v>
      </c>
      <c r="AP50" s="67">
        <f>SUMPRODUCT(($U$12:$U$59=AB50&amp;"_win")*($W$12:$W$59))+SUMPRODUCT(($V$12:$V$59=AB50&amp;"_win")*($W$12:$W$59))</f>
        <v>0</v>
      </c>
      <c r="AQ50" s="68">
        <f>SUMPRODUCT(($U$12:$U$59=AB50&amp;"_draw")*($W$12:$W$59))+SUMPRODUCT(($V$12:$V$59=AB50&amp;"_draw")*($W$12:$W$59))</f>
        <v>0</v>
      </c>
      <c r="AR50" s="68">
        <f>SUMPRODUCT(($E$12:$E$59=AB50)*($W$12:$W$59)*($F$12:$F$59))+SUMPRODUCT(($H$12:$H$59=AB50)*($W$12:$W$59)*($G$12:$G$59))</f>
        <v>0</v>
      </c>
      <c r="AS50" s="68">
        <f>SUMPRODUCT(($E$12:$E$59=AB50)*($W$12:$W$59)*($G$12:$G$59))+SUMPRODUCT(($H$12:$H$59=AB50)*($W$12:$W$59)*($F$12:$F$59))</f>
        <v>0</v>
      </c>
      <c r="AT50" s="68">
        <f>AR50-AS50</f>
        <v>0</v>
      </c>
      <c r="AX50" s="83"/>
      <c r="AY50" s="2"/>
      <c r="AZ50" s="2"/>
      <c r="BA50" s="2"/>
      <c r="BB50" s="133">
        <f>'Anketa-2014'!F51</f>
        <v>0</v>
      </c>
      <c r="BC50" s="133">
        <f>'Anketa-2014'!G51</f>
        <v>0</v>
      </c>
      <c r="BD50" s="133">
        <f t="shared" si="21"/>
        <v>0</v>
      </c>
      <c r="BE50" s="133">
        <f t="shared" si="22"/>
        <v>0</v>
      </c>
      <c r="BF50" s="133">
        <f t="shared" si="23"/>
        <v>1</v>
      </c>
      <c r="BG50" s="133">
        <f t="shared" si="24"/>
        <v>1</v>
      </c>
      <c r="BH50" s="133">
        <f t="shared" si="25"/>
        <v>2</v>
      </c>
      <c r="BI50" s="133" t="str">
        <f t="shared" si="26"/>
        <v>1</v>
      </c>
      <c r="BJ50" s="133" t="str">
        <f t="shared" si="27"/>
        <v>1</v>
      </c>
      <c r="BK50" s="133">
        <f t="shared" si="28"/>
        <v>0</v>
      </c>
      <c r="BL50" s="133">
        <f t="shared" si="29"/>
        <v>0</v>
      </c>
      <c r="BM50" s="133" t="str">
        <f t="shared" si="30"/>
        <v>0</v>
      </c>
      <c r="BN50" s="133" t="str">
        <f t="shared" si="31"/>
        <v>0</v>
      </c>
      <c r="BO50" s="133">
        <f t="shared" si="32"/>
        <v>1</v>
      </c>
      <c r="BP50" s="134" t="str">
        <f t="shared" si="33"/>
        <v>1</v>
      </c>
      <c r="BQ50" s="134" t="str">
        <f t="shared" si="34"/>
        <v>1</v>
      </c>
      <c r="BR50" s="134" t="str">
        <f t="shared" si="35"/>
        <v>0</v>
      </c>
    </row>
    <row r="51" spans="1:70" s="69" customFormat="1" x14ac:dyDescent="0.2">
      <c r="A51" s="89">
        <v>40</v>
      </c>
      <c r="B51" s="90" t="str">
        <f t="shared" si="0"/>
        <v>Чор</v>
      </c>
      <c r="C51" s="91" t="str">
        <f t="shared" si="1"/>
        <v>Июнь 25, 2014</v>
      </c>
      <c r="D51" s="92">
        <f t="shared" si="19"/>
        <v>4.1666666666666664E-2</v>
      </c>
      <c r="E51" s="93" t="str">
        <f>AB26</f>
        <v>Греция</v>
      </c>
      <c r="F51" s="54"/>
      <c r="G51" s="55"/>
      <c r="H51" s="100" t="str">
        <f>AB27</f>
        <v>Кот-д’Ивуар</v>
      </c>
      <c r="I51" s="310">
        <f t="shared" si="20"/>
        <v>3</v>
      </c>
      <c r="J51" s="311"/>
      <c r="K51" s="2"/>
      <c r="L51" s="22" t="str">
        <f>VLOOKUP(2,AA49:AK52,2,FALSE)</f>
        <v>Португалия</v>
      </c>
      <c r="M51" s="28">
        <f>N51+O51+P51</f>
        <v>0</v>
      </c>
      <c r="N51" s="28">
        <f>VLOOKUP(2,AA49:AK52,3,FALSE)</f>
        <v>0</v>
      </c>
      <c r="O51" s="28">
        <f>VLOOKUP(2,AA49:AK52,4,FALSE)</f>
        <v>0</v>
      </c>
      <c r="P51" s="28">
        <f>VLOOKUP(2,AA49:AK52,5,FALSE)</f>
        <v>0</v>
      </c>
      <c r="Q51" s="28" t="str">
        <f>VLOOKUP(2,AA49:AK52,6,FALSE) &amp; " - " &amp; VLOOKUP(2,AA49:AK52,7,FALSE)</f>
        <v>0 - 0</v>
      </c>
      <c r="R51" s="29">
        <f>N51*3+O51</f>
        <v>0</v>
      </c>
      <c r="S51" s="44"/>
      <c r="T51" s="64">
        <f>DATE(2014,6,24)+TIME(9,0,0)+gmt_delta</f>
        <v>41815.041666666664</v>
      </c>
      <c r="U51" s="70" t="str">
        <f t="shared" si="2"/>
        <v/>
      </c>
      <c r="V51" s="70" t="str">
        <f t="shared" si="3"/>
        <v/>
      </c>
      <c r="W51" s="65">
        <f t="shared" si="4"/>
        <v>0</v>
      </c>
      <c r="X51" s="64">
        <f t="shared" si="5"/>
        <v>0</v>
      </c>
      <c r="Y51" s="64">
        <f t="shared" si="6"/>
        <v>0</v>
      </c>
      <c r="Z51" s="65"/>
      <c r="AA51" s="64">
        <f>COUNTIF(AN49:AN52,CONCATENATE("&gt;=",AN51))</f>
        <v>4</v>
      </c>
      <c r="AB51" s="65" t="str">
        <f>INDEX(T,53,lang)</f>
        <v>Гана</v>
      </c>
      <c r="AC51" s="64">
        <f>COUNTIF($U$12:$V$59,"=" &amp; AB51 &amp; "_win")</f>
        <v>0</v>
      </c>
      <c r="AD51" s="64">
        <f>COUNTIF($U$12:$V$59,"=" &amp; AB51 &amp; "_draw")</f>
        <v>0</v>
      </c>
      <c r="AE51" s="64">
        <f>COUNTIF($U$12:$V$59,"=" &amp; AB51 &amp; "_lose")</f>
        <v>0</v>
      </c>
      <c r="AF51" s="64">
        <f>SUMIF($E$12:$E$59,$AB51,$F$12:$F$59) + SUMIF($H$12:$H$59,$AB51,$G$12:$G$59)</f>
        <v>0</v>
      </c>
      <c r="AG51" s="64">
        <f>SUMIF($E$12:$E$59,$AB51,$G$12:$G$59) + SUMIF($H$12:$H$59,$AB51,$F$12:$F$59)</f>
        <v>0</v>
      </c>
      <c r="AH51" s="64">
        <f>(AF51-AG51)*100+AK51*10000+AF51</f>
        <v>0</v>
      </c>
      <c r="AI51" s="64">
        <f>AF51-AG51</f>
        <v>0</v>
      </c>
      <c r="AJ51" s="64">
        <f>(AI51-AI54)/AI53</f>
        <v>0</v>
      </c>
      <c r="AK51" s="64">
        <f>AC51*3+AD51</f>
        <v>0</v>
      </c>
      <c r="AL51" s="64">
        <f>AP51/AP53*1000+AQ51/AQ53*100+AT51/AT53*10+AR51/AR53</f>
        <v>0</v>
      </c>
      <c r="AM51" s="64">
        <f>VLOOKUP(AB51,db_fifarank,2,FALSE)/2000000</f>
        <v>3.5649999999999999E-4</v>
      </c>
      <c r="AN51" s="65">
        <f>1000*AK51/AK53+100*AJ51+10*AF51/AF53+1*AL51/AL53+AM51</f>
        <v>3.5649999999999999E-4</v>
      </c>
      <c r="AO51" s="66"/>
      <c r="AP51" s="67">
        <f>SUMPRODUCT(($U$12:$U$59=AB51&amp;"_win")*($W$12:$W$59))+SUMPRODUCT(($V$12:$V$59=AB51&amp;"_win")*($W$12:$W$59))</f>
        <v>0</v>
      </c>
      <c r="AQ51" s="68">
        <f>SUMPRODUCT(($U$12:$U$59=AB51&amp;"_draw")*($W$12:$W$59))+SUMPRODUCT(($V$12:$V$59=AB51&amp;"_draw")*($W$12:$W$59))</f>
        <v>0</v>
      </c>
      <c r="AR51" s="68">
        <f>SUMPRODUCT(($E$12:$E$59=AB51)*($W$12:$W$59)*($F$12:$F$59))+SUMPRODUCT(($H$12:$H$59=AB51)*($W$12:$W$59)*($G$12:$G$59))</f>
        <v>0</v>
      </c>
      <c r="AS51" s="68">
        <f>SUMPRODUCT(($E$12:$E$59=AB51)*($W$12:$W$59)*($G$12:$G$59))+SUMPRODUCT(($H$12:$H$59=AB51)*($W$12:$W$59)*($F$12:$F$59))</f>
        <v>0</v>
      </c>
      <c r="AT51" s="68">
        <f>AR51-AS51</f>
        <v>0</v>
      </c>
      <c r="AX51" s="83"/>
      <c r="AY51" s="2"/>
      <c r="AZ51" s="2"/>
      <c r="BA51" s="2"/>
      <c r="BB51" s="133">
        <f>'Anketa-2014'!F52</f>
        <v>0</v>
      </c>
      <c r="BC51" s="133">
        <f>'Anketa-2014'!G52</f>
        <v>0</v>
      </c>
      <c r="BD51" s="133">
        <f t="shared" si="21"/>
        <v>0</v>
      </c>
      <c r="BE51" s="133">
        <f t="shared" si="22"/>
        <v>0</v>
      </c>
      <c r="BF51" s="133">
        <f t="shared" si="23"/>
        <v>1</v>
      </c>
      <c r="BG51" s="133">
        <f t="shared" si="24"/>
        <v>1</v>
      </c>
      <c r="BH51" s="133">
        <f t="shared" si="25"/>
        <v>2</v>
      </c>
      <c r="BI51" s="133" t="str">
        <f t="shared" si="26"/>
        <v>1</v>
      </c>
      <c r="BJ51" s="133" t="str">
        <f t="shared" si="27"/>
        <v>1</v>
      </c>
      <c r="BK51" s="133">
        <f t="shared" si="28"/>
        <v>0</v>
      </c>
      <c r="BL51" s="133">
        <f t="shared" si="29"/>
        <v>0</v>
      </c>
      <c r="BM51" s="133" t="str">
        <f t="shared" si="30"/>
        <v>0</v>
      </c>
      <c r="BN51" s="133" t="str">
        <f t="shared" si="31"/>
        <v>0</v>
      </c>
      <c r="BO51" s="133">
        <f t="shared" si="32"/>
        <v>1</v>
      </c>
      <c r="BP51" s="134" t="str">
        <f t="shared" si="33"/>
        <v>1</v>
      </c>
      <c r="BQ51" s="134" t="str">
        <f t="shared" si="34"/>
        <v>1</v>
      </c>
      <c r="BR51" s="134" t="str">
        <f t="shared" si="35"/>
        <v>0</v>
      </c>
    </row>
    <row r="52" spans="1:70" s="69" customFormat="1" x14ac:dyDescent="0.2">
      <c r="A52" s="89">
        <v>41</v>
      </c>
      <c r="B52" s="90" t="str">
        <f t="shared" si="0"/>
        <v>Чор</v>
      </c>
      <c r="C52" s="91" t="str">
        <f t="shared" si="1"/>
        <v>Июнь 25, 2014</v>
      </c>
      <c r="D52" s="92">
        <f t="shared" si="19"/>
        <v>0.875</v>
      </c>
      <c r="E52" s="93" t="str">
        <f>AB46</f>
        <v>Нигерия</v>
      </c>
      <c r="F52" s="54"/>
      <c r="G52" s="55"/>
      <c r="H52" s="100" t="str">
        <f>AB43</f>
        <v>Аргентина</v>
      </c>
      <c r="I52" s="310">
        <f t="shared" si="20"/>
        <v>3</v>
      </c>
      <c r="J52" s="311"/>
      <c r="K52" s="2"/>
      <c r="L52" s="22" t="str">
        <f>VLOOKUP(3,AA49:AK52,2,FALSE)</f>
        <v>АҚШ</v>
      </c>
      <c r="M52" s="28">
        <f>N52+O52+P52</f>
        <v>0</v>
      </c>
      <c r="N52" s="28">
        <f>VLOOKUP(3,AA49:AK52,3,FALSE)</f>
        <v>0</v>
      </c>
      <c r="O52" s="28">
        <f>VLOOKUP(3,AA49:AK52,4,FALSE)</f>
        <v>0</v>
      </c>
      <c r="P52" s="28">
        <f>VLOOKUP(3,AA49:AK52,5,FALSE)</f>
        <v>0</v>
      </c>
      <c r="Q52" s="28" t="str">
        <f>VLOOKUP(3,AA49:AK52,6,FALSE) &amp; " - " &amp; VLOOKUP(3,AA49:AK52,7,FALSE)</f>
        <v>0 - 0</v>
      </c>
      <c r="R52" s="29">
        <f>N52*3+O52</f>
        <v>0</v>
      </c>
      <c r="S52" s="44"/>
      <c r="T52" s="64">
        <f>DATE(2014,6,25)+TIME(5,0,0)+gmt_delta</f>
        <v>41815.875</v>
      </c>
      <c r="U52" s="70" t="str">
        <f t="shared" si="2"/>
        <v/>
      </c>
      <c r="V52" s="70" t="str">
        <f t="shared" si="3"/>
        <v/>
      </c>
      <c r="W52" s="65">
        <f t="shared" si="4"/>
        <v>0</v>
      </c>
      <c r="X52" s="64">
        <f t="shared" si="5"/>
        <v>0</v>
      </c>
      <c r="Y52" s="64">
        <f t="shared" si="6"/>
        <v>0</v>
      </c>
      <c r="Z52" s="65"/>
      <c r="AA52" s="64">
        <f>COUNTIF(AN49:AN52,CONCATENATE("&gt;=",AN52))</f>
        <v>3</v>
      </c>
      <c r="AB52" s="65" t="str">
        <f>INDEX(T,47,lang)</f>
        <v>АҚШ</v>
      </c>
      <c r="AC52" s="64">
        <f>COUNTIF($U$12:$V$59,"=" &amp; AB52 &amp; "_win")</f>
        <v>0</v>
      </c>
      <c r="AD52" s="64">
        <f>COUNTIF($U$12:$V$59,"=" &amp; AB52 &amp; "_draw")</f>
        <v>0</v>
      </c>
      <c r="AE52" s="64">
        <f>COUNTIF($U$12:$V$59,"=" &amp; AB52 &amp; "_lose")</f>
        <v>0</v>
      </c>
      <c r="AF52" s="64">
        <f>SUMIF($E$12:$E$59,$AB52,$F$12:$F$59) + SUMIF($H$12:$H$59,$AB52,$G$12:$G$59)</f>
        <v>0</v>
      </c>
      <c r="AG52" s="64">
        <f>SUMIF($E$12:$E$59,$AB52,$G$12:$G$59) + SUMIF($H$12:$H$59,$AB52,$F$12:$F$59)</f>
        <v>0</v>
      </c>
      <c r="AH52" s="64">
        <f>(AF52-AG52)*100+AK52*10000+AF52</f>
        <v>0</v>
      </c>
      <c r="AI52" s="64">
        <f>AF52-AG52</f>
        <v>0</v>
      </c>
      <c r="AJ52" s="64">
        <f>(AI52-AI54)/AI53</f>
        <v>0</v>
      </c>
      <c r="AK52" s="64">
        <f>AC52*3+AD52</f>
        <v>0</v>
      </c>
      <c r="AL52" s="64">
        <f>AP52/AP53*1000+AQ52/AQ53*100+AT52/AT53*10+AR52/AR53</f>
        <v>0</v>
      </c>
      <c r="AM52" s="64">
        <f>VLOOKUP(AB52,db_fifarank,2,FALSE)/2000000</f>
        <v>5.0750000000000003E-4</v>
      </c>
      <c r="AN52" s="65">
        <f>1000*AK52/AK53+100*AJ52+10*AF52/AF53+1*AL52/AL53+AM52</f>
        <v>5.0750000000000003E-4</v>
      </c>
      <c r="AO52" s="66"/>
      <c r="AP52" s="67">
        <f>SUMPRODUCT(($U$12:$U$59=AB52&amp;"_win")*($W$12:$W$59))+SUMPRODUCT(($V$12:$V$59=AB52&amp;"_win")*($W$12:$W$59))</f>
        <v>0</v>
      </c>
      <c r="AQ52" s="68">
        <f>SUMPRODUCT(($U$12:$U$59=AB52&amp;"_draw")*($W$12:$W$59))+SUMPRODUCT(($V$12:$V$59=AB52&amp;"_draw")*($W$12:$W$59))</f>
        <v>0</v>
      </c>
      <c r="AR52" s="68">
        <f>SUMPRODUCT(($E$12:$E$59=AB52)*($W$12:$W$59)*($F$12:$F$59))+SUMPRODUCT(($H$12:$H$59=AB52)*($W$12:$W$59)*($G$12:$G$59))</f>
        <v>0</v>
      </c>
      <c r="AS52" s="68">
        <f>SUMPRODUCT(($E$12:$E$59=AB52)*($W$12:$W$59)*($G$12:$G$59))+SUMPRODUCT(($H$12:$H$59=AB52)*($W$12:$W$59)*($F$12:$F$59))</f>
        <v>0</v>
      </c>
      <c r="AT52" s="68">
        <f>AR52-AS52</f>
        <v>0</v>
      </c>
      <c r="AX52" s="83"/>
      <c r="AY52" s="2"/>
      <c r="AZ52" s="2"/>
      <c r="BA52" s="2"/>
      <c r="BB52" s="133">
        <f>'Anketa-2014'!F53</f>
        <v>0</v>
      </c>
      <c r="BC52" s="133">
        <f>'Anketa-2014'!G53</f>
        <v>0</v>
      </c>
      <c r="BD52" s="133">
        <f t="shared" si="21"/>
        <v>0</v>
      </c>
      <c r="BE52" s="133">
        <f t="shared" si="22"/>
        <v>0</v>
      </c>
      <c r="BF52" s="133">
        <f t="shared" si="23"/>
        <v>1</v>
      </c>
      <c r="BG52" s="133">
        <f t="shared" si="24"/>
        <v>1</v>
      </c>
      <c r="BH52" s="133">
        <f t="shared" si="25"/>
        <v>2</v>
      </c>
      <c r="BI52" s="133" t="str">
        <f t="shared" si="26"/>
        <v>1</v>
      </c>
      <c r="BJ52" s="133" t="str">
        <f t="shared" si="27"/>
        <v>1</v>
      </c>
      <c r="BK52" s="133">
        <f t="shared" si="28"/>
        <v>0</v>
      </c>
      <c r="BL52" s="133">
        <f t="shared" si="29"/>
        <v>0</v>
      </c>
      <c r="BM52" s="133" t="str">
        <f t="shared" si="30"/>
        <v>0</v>
      </c>
      <c r="BN52" s="133" t="str">
        <f t="shared" si="31"/>
        <v>0</v>
      </c>
      <c r="BO52" s="133">
        <f t="shared" si="32"/>
        <v>1</v>
      </c>
      <c r="BP52" s="134" t="str">
        <f t="shared" si="33"/>
        <v>1</v>
      </c>
      <c r="BQ52" s="134" t="str">
        <f t="shared" si="34"/>
        <v>1</v>
      </c>
      <c r="BR52" s="134" t="str">
        <f t="shared" si="35"/>
        <v>0</v>
      </c>
    </row>
    <row r="53" spans="1:70" s="69" customFormat="1" x14ac:dyDescent="0.2">
      <c r="A53" s="89">
        <v>42</v>
      </c>
      <c r="B53" s="90" t="str">
        <f t="shared" si="0"/>
        <v>Чор</v>
      </c>
      <c r="C53" s="91" t="str">
        <f t="shared" si="1"/>
        <v>Июнь 25, 2014</v>
      </c>
      <c r="D53" s="92">
        <f t="shared" si="19"/>
        <v>0.875</v>
      </c>
      <c r="E53" s="93" t="str">
        <f>AB44</f>
        <v>Босния ва Герцеговина</v>
      </c>
      <c r="F53" s="54"/>
      <c r="G53" s="55"/>
      <c r="H53" s="100" t="str">
        <f>AB45</f>
        <v>Эрон</v>
      </c>
      <c r="I53" s="310">
        <f t="shared" si="20"/>
        <v>3</v>
      </c>
      <c r="J53" s="311"/>
      <c r="K53" s="2"/>
      <c r="L53" s="23" t="str">
        <f>VLOOKUP(4,AA49:AK52,2,FALSE)</f>
        <v>Гана</v>
      </c>
      <c r="M53" s="30">
        <f>N53+O53+P53</f>
        <v>0</v>
      </c>
      <c r="N53" s="30">
        <f>VLOOKUP(4,AA49:AK52,3,FALSE)</f>
        <v>0</v>
      </c>
      <c r="O53" s="30">
        <f>VLOOKUP(4,AA49:AK52,4,FALSE)</f>
        <v>0</v>
      </c>
      <c r="P53" s="30">
        <f>VLOOKUP(4,AA49:AK52,5,FALSE)</f>
        <v>0</v>
      </c>
      <c r="Q53" s="30" t="str">
        <f>VLOOKUP(4,AA49:AK52,6,FALSE) &amp; " - " &amp; VLOOKUP(4,AA49:AK52,7,FALSE)</f>
        <v>0 - 0</v>
      </c>
      <c r="R53" s="31">
        <f>N53*3+O53</f>
        <v>0</v>
      </c>
      <c r="S53" s="44"/>
      <c r="T53" s="64">
        <f>DATE(2014,6,25)+TIME(5,0,0)+gmt_delta</f>
        <v>41815.875</v>
      </c>
      <c r="U53" s="70" t="str">
        <f t="shared" si="2"/>
        <v/>
      </c>
      <c r="V53" s="70" t="str">
        <f t="shared" si="3"/>
        <v/>
      </c>
      <c r="W53" s="65">
        <f t="shared" si="4"/>
        <v>0</v>
      </c>
      <c r="X53" s="64">
        <f t="shared" si="5"/>
        <v>0</v>
      </c>
      <c r="Y53" s="64">
        <f t="shared" si="6"/>
        <v>0</v>
      </c>
      <c r="Z53" s="65"/>
      <c r="AA53" s="64"/>
      <c r="AB53" s="65"/>
      <c r="AC53" s="64">
        <f t="shared" ref="AC53:AL53" si="42">MAX(AC49:AC52)-MIN(AC49:AC52)+1</f>
        <v>1</v>
      </c>
      <c r="AD53" s="64">
        <f t="shared" si="42"/>
        <v>1</v>
      </c>
      <c r="AE53" s="64">
        <f t="shared" si="42"/>
        <v>1</v>
      </c>
      <c r="AF53" s="64">
        <f t="shared" si="42"/>
        <v>1</v>
      </c>
      <c r="AG53" s="64">
        <f t="shared" si="42"/>
        <v>1</v>
      </c>
      <c r="AH53" s="64">
        <f>MAX(AH49:AH52)-AH54+1</f>
        <v>1</v>
      </c>
      <c r="AI53" s="64">
        <f>MAX(AI49:AI52)-AI54+1</f>
        <v>1</v>
      </c>
      <c r="AJ53" s="64"/>
      <c r="AK53" s="64">
        <f t="shared" si="42"/>
        <v>1</v>
      </c>
      <c r="AL53" s="64">
        <f t="shared" si="42"/>
        <v>1</v>
      </c>
      <c r="AM53" s="65"/>
      <c r="AN53" s="65"/>
      <c r="AO53" s="66"/>
      <c r="AP53" s="64">
        <f>MAX(AP49:AP52)-MIN(AP49:AP52)+1</f>
        <v>1</v>
      </c>
      <c r="AQ53" s="64">
        <f>MAX(AQ49:AQ52)-MIN(AQ49:AQ52)+1</f>
        <v>1</v>
      </c>
      <c r="AR53" s="64">
        <f>MAX(AR49:AR52)-MIN(AR49:AR52)+1</f>
        <v>1</v>
      </c>
      <c r="AS53" s="64">
        <f>MAX(AS49:AS52)-MIN(AS49:AS52)+1</f>
        <v>1</v>
      </c>
      <c r="AT53" s="64">
        <f>MAX(AT49:AT52)-MIN(AT49:AT52)+1</f>
        <v>1</v>
      </c>
      <c r="AX53" s="83"/>
      <c r="AY53" s="2"/>
      <c r="AZ53" s="2"/>
      <c r="BA53" s="2"/>
      <c r="BB53" s="133">
        <f>'Anketa-2014'!F54</f>
        <v>0</v>
      </c>
      <c r="BC53" s="133">
        <f>'Anketa-2014'!G54</f>
        <v>0</v>
      </c>
      <c r="BD53" s="133">
        <f t="shared" si="21"/>
        <v>0</v>
      </c>
      <c r="BE53" s="133">
        <f t="shared" si="22"/>
        <v>0</v>
      </c>
      <c r="BF53" s="133">
        <f t="shared" si="23"/>
        <v>1</v>
      </c>
      <c r="BG53" s="133">
        <f t="shared" si="24"/>
        <v>1</v>
      </c>
      <c r="BH53" s="133">
        <f t="shared" si="25"/>
        <v>2</v>
      </c>
      <c r="BI53" s="133" t="str">
        <f t="shared" si="26"/>
        <v>1</v>
      </c>
      <c r="BJ53" s="133" t="str">
        <f t="shared" si="27"/>
        <v>1</v>
      </c>
      <c r="BK53" s="133">
        <f t="shared" si="28"/>
        <v>0</v>
      </c>
      <c r="BL53" s="133">
        <f t="shared" si="29"/>
        <v>0</v>
      </c>
      <c r="BM53" s="133" t="str">
        <f t="shared" si="30"/>
        <v>0</v>
      </c>
      <c r="BN53" s="133" t="str">
        <f t="shared" si="31"/>
        <v>0</v>
      </c>
      <c r="BO53" s="133">
        <f t="shared" si="32"/>
        <v>1</v>
      </c>
      <c r="BP53" s="134" t="str">
        <f t="shared" si="33"/>
        <v>1</v>
      </c>
      <c r="BQ53" s="134" t="str">
        <f t="shared" si="34"/>
        <v>1</v>
      </c>
      <c r="BR53" s="134" t="str">
        <f t="shared" si="35"/>
        <v>0</v>
      </c>
    </row>
    <row r="54" spans="1:70" s="69" customFormat="1" x14ac:dyDescent="0.2">
      <c r="A54" s="89">
        <v>43</v>
      </c>
      <c r="B54" s="90" t="str">
        <f t="shared" si="0"/>
        <v>Пай</v>
      </c>
      <c r="C54" s="91" t="str">
        <f t="shared" si="1"/>
        <v>Июнь 26, 2014</v>
      </c>
      <c r="D54" s="92">
        <f t="shared" si="19"/>
        <v>4.1666666666666664E-2</v>
      </c>
      <c r="E54" s="93" t="str">
        <f>AB40</f>
        <v>Гондурас</v>
      </c>
      <c r="F54" s="54"/>
      <c r="G54" s="55"/>
      <c r="H54" s="100" t="str">
        <f>AB37</f>
        <v>Швейцария</v>
      </c>
      <c r="I54" s="310">
        <f t="shared" si="20"/>
        <v>3</v>
      </c>
      <c r="J54" s="311"/>
      <c r="K54" s="2"/>
      <c r="L54" s="24"/>
      <c r="M54" s="25"/>
      <c r="N54" s="25"/>
      <c r="O54" s="25"/>
      <c r="P54" s="25"/>
      <c r="Q54" s="25"/>
      <c r="R54" s="25"/>
      <c r="S54" s="44"/>
      <c r="T54" s="64">
        <f>DATE(2014,6,25)+TIME(9,0,0)+gmt_delta</f>
        <v>41816.041666666664</v>
      </c>
      <c r="U54" s="70" t="str">
        <f t="shared" si="2"/>
        <v/>
      </c>
      <c r="V54" s="70" t="str">
        <f t="shared" si="3"/>
        <v/>
      </c>
      <c r="W54" s="65">
        <f t="shared" si="4"/>
        <v>0</v>
      </c>
      <c r="X54" s="64">
        <f t="shared" si="5"/>
        <v>0</v>
      </c>
      <c r="Y54" s="64">
        <f t="shared" si="6"/>
        <v>0</v>
      </c>
      <c r="Z54" s="65"/>
      <c r="AA54" s="64"/>
      <c r="AB54" s="65"/>
      <c r="AC54" s="64"/>
      <c r="AD54" s="64"/>
      <c r="AE54" s="64"/>
      <c r="AF54" s="64"/>
      <c r="AG54" s="64"/>
      <c r="AH54" s="64">
        <f>MIN(AH49:AH52)</f>
        <v>0</v>
      </c>
      <c r="AI54" s="64">
        <f>MIN(AI49:AI52)</f>
        <v>0</v>
      </c>
      <c r="AJ54" s="64"/>
      <c r="AK54" s="64"/>
      <c r="AL54" s="64"/>
      <c r="AM54" s="65"/>
      <c r="AN54" s="65"/>
      <c r="AO54" s="66"/>
      <c r="AP54" s="67"/>
      <c r="AQ54" s="68"/>
      <c r="AR54" s="68"/>
      <c r="AS54" s="68"/>
      <c r="AT54" s="68"/>
      <c r="AX54" s="83"/>
      <c r="AY54" s="2"/>
      <c r="AZ54" s="2"/>
      <c r="BA54" s="2"/>
      <c r="BB54" s="133">
        <f>'Anketa-2014'!F55</f>
        <v>0</v>
      </c>
      <c r="BC54" s="133">
        <f>'Anketa-2014'!G55</f>
        <v>0</v>
      </c>
      <c r="BD54" s="133">
        <f t="shared" si="21"/>
        <v>0</v>
      </c>
      <c r="BE54" s="133">
        <f t="shared" si="22"/>
        <v>0</v>
      </c>
      <c r="BF54" s="133">
        <f t="shared" si="23"/>
        <v>1</v>
      </c>
      <c r="BG54" s="133">
        <f t="shared" si="24"/>
        <v>1</v>
      </c>
      <c r="BH54" s="133">
        <f t="shared" si="25"/>
        <v>2</v>
      </c>
      <c r="BI54" s="133" t="str">
        <f t="shared" si="26"/>
        <v>1</v>
      </c>
      <c r="BJ54" s="133" t="str">
        <f t="shared" si="27"/>
        <v>1</v>
      </c>
      <c r="BK54" s="133">
        <f t="shared" si="28"/>
        <v>0</v>
      </c>
      <c r="BL54" s="133">
        <f t="shared" si="29"/>
        <v>0</v>
      </c>
      <c r="BM54" s="133" t="str">
        <f t="shared" si="30"/>
        <v>0</v>
      </c>
      <c r="BN54" s="133" t="str">
        <f t="shared" si="31"/>
        <v>0</v>
      </c>
      <c r="BO54" s="133">
        <f t="shared" si="32"/>
        <v>1</v>
      </c>
      <c r="BP54" s="134" t="str">
        <f t="shared" si="33"/>
        <v>1</v>
      </c>
      <c r="BQ54" s="134" t="str">
        <f t="shared" si="34"/>
        <v>1</v>
      </c>
      <c r="BR54" s="134" t="str">
        <f t="shared" si="35"/>
        <v>0</v>
      </c>
    </row>
    <row r="55" spans="1:70" s="69" customFormat="1" x14ac:dyDescent="0.2">
      <c r="A55" s="89">
        <v>44</v>
      </c>
      <c r="B55" s="90" t="str">
        <f t="shared" si="0"/>
        <v>Пай</v>
      </c>
      <c r="C55" s="91" t="str">
        <f t="shared" si="1"/>
        <v>Июнь 26, 2014</v>
      </c>
      <c r="D55" s="92">
        <f t="shared" si="19"/>
        <v>4.1666666666666664E-2</v>
      </c>
      <c r="E55" s="93" t="str">
        <f>AB38</f>
        <v>Эквадор</v>
      </c>
      <c r="F55" s="54"/>
      <c r="G55" s="55"/>
      <c r="H55" s="100" t="str">
        <f>AB39</f>
        <v>Франция</v>
      </c>
      <c r="I55" s="310">
        <f t="shared" si="20"/>
        <v>3</v>
      </c>
      <c r="J55" s="311"/>
      <c r="K55" s="2"/>
      <c r="L55" s="52" t="str">
        <f>INDEX(T,9,lang) &amp; " " &amp; "H"</f>
        <v>Гуруҳ H</v>
      </c>
      <c r="M55" s="53" t="str">
        <f>INDEX(T,10,lang)</f>
        <v>Ў</v>
      </c>
      <c r="N55" s="53" t="str">
        <f>INDEX(T,11,lang)</f>
        <v>Ю</v>
      </c>
      <c r="O55" s="53" t="str">
        <f>INDEX(T,12,lang)</f>
        <v>Д</v>
      </c>
      <c r="P55" s="53" t="str">
        <f>INDEX(T,13,lang)</f>
        <v>М</v>
      </c>
      <c r="Q55" s="53" t="str">
        <f>INDEX(T,14,lang)</f>
        <v>Тўп. нисб.</v>
      </c>
      <c r="R55" s="53" t="str">
        <f>INDEX(T,15,lang)</f>
        <v>Очколар</v>
      </c>
      <c r="S55" s="44"/>
      <c r="T55" s="64">
        <f>DATE(2014,6,25)+TIME(9,0,0)+gmt_delta</f>
        <v>41816.041666666664</v>
      </c>
      <c r="U55" s="70" t="str">
        <f t="shared" si="2"/>
        <v/>
      </c>
      <c r="V55" s="70" t="str">
        <f t="shared" si="3"/>
        <v/>
      </c>
      <c r="W55" s="65">
        <f t="shared" si="4"/>
        <v>0</v>
      </c>
      <c r="X55" s="64">
        <f t="shared" si="5"/>
        <v>0</v>
      </c>
      <c r="Y55" s="64">
        <f t="shared" si="6"/>
        <v>0</v>
      </c>
      <c r="Z55" s="65"/>
      <c r="AA55" s="64">
        <f>COUNTIF(AN55:AN58,CONCATENATE("&gt;=",AN55))</f>
        <v>1</v>
      </c>
      <c r="AB55" s="65" t="str">
        <f>INDEX(T,63,lang)</f>
        <v>Бельгия</v>
      </c>
      <c r="AC55" s="64">
        <f>COUNTIF($U$12:$V$59,"=" &amp; AB55 &amp; "_win")</f>
        <v>0</v>
      </c>
      <c r="AD55" s="64">
        <f>COUNTIF($U$12:$V$59,"=" &amp; AB55 &amp; "_draw")</f>
        <v>0</v>
      </c>
      <c r="AE55" s="64">
        <f>COUNTIF($U$12:$V$59,"=" &amp; AB55 &amp; "_lose")</f>
        <v>0</v>
      </c>
      <c r="AF55" s="64">
        <f>SUMIF($E$12:$E$59,$AB55,$F$12:$F$59) + SUMIF($H$12:$H$59,$AB55,$G$12:$G$59)</f>
        <v>0</v>
      </c>
      <c r="AG55" s="64">
        <f>SUMIF($E$12:$E$59,$AB55,$G$12:$G$59) + SUMIF($H$12:$H$59,$AB55,$F$12:$F$59)</f>
        <v>0</v>
      </c>
      <c r="AH55" s="64">
        <f>(AF55-AG55)*100+AK55*10000+AF55</f>
        <v>0</v>
      </c>
      <c r="AI55" s="64">
        <f>AF55-AG55</f>
        <v>0</v>
      </c>
      <c r="AJ55" s="64">
        <f>(AI55-AI60)/AI59</f>
        <v>0</v>
      </c>
      <c r="AK55" s="64">
        <f>AC55*3+AD55</f>
        <v>0</v>
      </c>
      <c r="AL55" s="64">
        <f>AP55/AP59*1000+AQ55/AQ59*100+AT55/AT59*10+AR55/AR59</f>
        <v>0</v>
      </c>
      <c r="AM55" s="64">
        <f>VLOOKUP(AB55,db_fifarank,2,FALSE)/2000000</f>
        <v>5.195E-4</v>
      </c>
      <c r="AN55" s="65">
        <f>1000*AK55/AK59+100*AJ55+10*AF55/AF59+1*AL55/AL59+AM55</f>
        <v>5.195E-4</v>
      </c>
      <c r="AO55" s="66" t="str">
        <f>IF(SUM(AC55:AE58)=12,L56,INDEX(T,84,lang))</f>
        <v>1H</v>
      </c>
      <c r="AP55" s="67">
        <f>SUMPRODUCT(($U$12:$U$59=AB55&amp;"_win")*($W$12:$W$59))+SUMPRODUCT(($V$12:$V$59=AB55&amp;"_win")*($W$12:$W$59))</f>
        <v>0</v>
      </c>
      <c r="AQ55" s="68">
        <f>SUMPRODUCT(($U$12:$U$59=AB55&amp;"_draw")*($W$12:$W$59))+SUMPRODUCT(($V$12:$V$59=AB55&amp;"_draw")*($W$12:$W$59))</f>
        <v>0</v>
      </c>
      <c r="AR55" s="68">
        <f>SUMPRODUCT(($E$12:$E$59=AB55)*($W$12:$W$59)*($F$12:$F$59))+SUMPRODUCT(($H$12:$H$59=AB55)*($W$12:$W$59)*($G$12:$G$59))</f>
        <v>0</v>
      </c>
      <c r="AS55" s="68">
        <f>SUMPRODUCT(($E$12:$E$59=AB55)*($W$12:$W$59)*($G$12:$G$59))+SUMPRODUCT(($H$12:$H$59=AB55)*($W$12:$W$59)*($F$12:$F$59))</f>
        <v>0</v>
      </c>
      <c r="AT55" s="68">
        <f>AR55-AS55</f>
        <v>0</v>
      </c>
      <c r="AX55" s="83"/>
      <c r="AY55" s="2"/>
      <c r="AZ55" s="2"/>
      <c r="BA55" s="2"/>
      <c r="BB55" s="133">
        <f>'Anketa-2014'!F56</f>
        <v>0</v>
      </c>
      <c r="BC55" s="133">
        <f>'Anketa-2014'!G56</f>
        <v>0</v>
      </c>
      <c r="BD55" s="133">
        <f t="shared" si="21"/>
        <v>0</v>
      </c>
      <c r="BE55" s="133">
        <f t="shared" si="22"/>
        <v>0</v>
      </c>
      <c r="BF55" s="133">
        <f t="shared" si="23"/>
        <v>1</v>
      </c>
      <c r="BG55" s="133">
        <f t="shared" si="24"/>
        <v>1</v>
      </c>
      <c r="BH55" s="133">
        <f t="shared" si="25"/>
        <v>2</v>
      </c>
      <c r="BI55" s="133" t="str">
        <f t="shared" si="26"/>
        <v>1</v>
      </c>
      <c r="BJ55" s="133" t="str">
        <f t="shared" si="27"/>
        <v>1</v>
      </c>
      <c r="BK55" s="133">
        <f t="shared" si="28"/>
        <v>0</v>
      </c>
      <c r="BL55" s="133">
        <f t="shared" si="29"/>
        <v>0</v>
      </c>
      <c r="BM55" s="133" t="str">
        <f t="shared" si="30"/>
        <v>0</v>
      </c>
      <c r="BN55" s="133" t="str">
        <f t="shared" si="31"/>
        <v>0</v>
      </c>
      <c r="BO55" s="133">
        <f t="shared" si="32"/>
        <v>1</v>
      </c>
      <c r="BP55" s="134" t="str">
        <f t="shared" si="33"/>
        <v>1</v>
      </c>
      <c r="BQ55" s="134" t="str">
        <f t="shared" si="34"/>
        <v>1</v>
      </c>
      <c r="BR55" s="134" t="str">
        <f t="shared" si="35"/>
        <v>0</v>
      </c>
    </row>
    <row r="56" spans="1:70" s="69" customFormat="1" x14ac:dyDescent="0.2">
      <c r="A56" s="89">
        <v>45</v>
      </c>
      <c r="B56" s="90" t="str">
        <f t="shared" si="0"/>
        <v>Пай</v>
      </c>
      <c r="C56" s="91" t="str">
        <f t="shared" si="1"/>
        <v>Июнь 26, 2014</v>
      </c>
      <c r="D56" s="92">
        <f t="shared" si="19"/>
        <v>0.875</v>
      </c>
      <c r="E56" s="93" t="str">
        <f>AB52</f>
        <v>АҚШ</v>
      </c>
      <c r="F56" s="54"/>
      <c r="G56" s="55"/>
      <c r="H56" s="100" t="str">
        <f>AB49</f>
        <v>Германия</v>
      </c>
      <c r="I56" s="310">
        <f t="shared" si="20"/>
        <v>3</v>
      </c>
      <c r="J56" s="311"/>
      <c r="K56" s="2"/>
      <c r="L56" s="21" t="str">
        <f>VLOOKUP(1,AA55:AK58,2,FALSE)</f>
        <v>Бельгия</v>
      </c>
      <c r="M56" s="26">
        <f>N56+O56+P56</f>
        <v>0</v>
      </c>
      <c r="N56" s="26">
        <f>VLOOKUP(1,AA55:AK58,3,FALSE)</f>
        <v>0</v>
      </c>
      <c r="O56" s="26">
        <f>VLOOKUP(1,AA55:AK58,4,FALSE)</f>
        <v>0</v>
      </c>
      <c r="P56" s="26">
        <f>VLOOKUP(1,AA55:AK58,5,FALSE)</f>
        <v>0</v>
      </c>
      <c r="Q56" s="26" t="str">
        <f>VLOOKUP(1,AA55:AK58,6,FALSE) &amp; " - " &amp; VLOOKUP(1,AA55:AK58,7,FALSE)</f>
        <v>0 - 0</v>
      </c>
      <c r="R56" s="27">
        <f>N56*3+O56</f>
        <v>0</v>
      </c>
      <c r="S56" s="44"/>
      <c r="T56" s="64">
        <f>DATE(2014,6,26)+TIME(5,0,0)+gmt_delta</f>
        <v>41816.875</v>
      </c>
      <c r="U56" s="70" t="str">
        <f t="shared" si="2"/>
        <v/>
      </c>
      <c r="V56" s="70" t="str">
        <f t="shared" si="3"/>
        <v/>
      </c>
      <c r="W56" s="65">
        <f t="shared" si="4"/>
        <v>0</v>
      </c>
      <c r="X56" s="64">
        <f t="shared" si="5"/>
        <v>0</v>
      </c>
      <c r="Y56" s="64">
        <f t="shared" si="6"/>
        <v>0</v>
      </c>
      <c r="Z56" s="65"/>
      <c r="AA56" s="64">
        <f>COUNTIF(AN55:AN58,CONCATENATE("&gt;=",AN56))</f>
        <v>3</v>
      </c>
      <c r="AB56" s="65" t="str">
        <f>INDEX(T,48,lang)</f>
        <v>Жазоир</v>
      </c>
      <c r="AC56" s="64">
        <f>COUNTIF($U$12:$V$59,"=" &amp; AB56 &amp; "_win")</f>
        <v>0</v>
      </c>
      <c r="AD56" s="64">
        <f>COUNTIF($U$12:$V$59,"=" &amp; AB56 &amp; "_draw")</f>
        <v>0</v>
      </c>
      <c r="AE56" s="64">
        <f>COUNTIF($U$12:$V$59,"=" &amp; AB56 &amp; "_lose")</f>
        <v>0</v>
      </c>
      <c r="AF56" s="64">
        <f>SUMIF($E$12:$E$59,$AB56,$F$12:$F$59) + SUMIF($H$12:$H$59,$AB56,$G$12:$G$59)</f>
        <v>0</v>
      </c>
      <c r="AG56" s="64">
        <f>SUMIF($E$12:$E$59,$AB56,$G$12:$G$59) + SUMIF($H$12:$H$59,$AB56,$F$12:$F$59)</f>
        <v>0</v>
      </c>
      <c r="AH56" s="64">
        <f>(AF56-AG56)*100+AK56*10000+AF56</f>
        <v>0</v>
      </c>
      <c r="AI56" s="64">
        <f>AF56-AG56</f>
        <v>0</v>
      </c>
      <c r="AJ56" s="64">
        <f>(AI56-AI60)/AI59</f>
        <v>0</v>
      </c>
      <c r="AK56" s="64">
        <f>AC56*3+AD56</f>
        <v>0</v>
      </c>
      <c r="AL56" s="64">
        <f>AP56/AP59*1000+AQ56/AQ59*100+AT56/AT59*10+AR56/AR59</f>
        <v>0</v>
      </c>
      <c r="AM56" s="64">
        <f>VLOOKUP(AB56,db_fifarank,2,FALSE)/2000000</f>
        <v>3.9750000000000001E-4</v>
      </c>
      <c r="AN56" s="65">
        <f>1000*AK56/AK59+100*AJ56+10*AF56/AF59+1*AL56/AL59+AM56</f>
        <v>3.9750000000000001E-4</v>
      </c>
      <c r="AO56" s="66" t="str">
        <f>IF(SUM(AC55:AE58)=12,L57,INDEX(T,85,lang))</f>
        <v>2H</v>
      </c>
      <c r="AP56" s="67">
        <f>SUMPRODUCT(($U$12:$U$59=AB56&amp;"_win")*($W$12:$W$59))+SUMPRODUCT(($V$12:$V$59=AB56&amp;"_win")*($W$12:$W$59))</f>
        <v>0</v>
      </c>
      <c r="AQ56" s="68">
        <f>SUMPRODUCT(($U$12:$U$59=AB56&amp;"_draw")*($W$12:$W$59))+SUMPRODUCT(($V$12:$V$59=AB56&amp;"_draw")*($W$12:$W$59))</f>
        <v>0</v>
      </c>
      <c r="AR56" s="68">
        <f>SUMPRODUCT(($E$12:$E$59=AB56)*($W$12:$W$59)*($F$12:$F$59))+SUMPRODUCT(($H$12:$H$59=AB56)*($W$12:$W$59)*($G$12:$G$59))</f>
        <v>0</v>
      </c>
      <c r="AS56" s="68">
        <f>SUMPRODUCT(($E$12:$E$59=AB56)*($W$12:$W$59)*($G$12:$G$59))+SUMPRODUCT(($H$12:$H$59=AB56)*($W$12:$W$59)*($F$12:$F$59))</f>
        <v>0</v>
      </c>
      <c r="AT56" s="68">
        <f>AR56-AS56</f>
        <v>0</v>
      </c>
      <c r="AX56" s="83"/>
      <c r="AY56" s="2"/>
      <c r="AZ56" s="2"/>
      <c r="BA56" s="2"/>
      <c r="BB56" s="133">
        <f>'Anketa-2014'!F57</f>
        <v>0</v>
      </c>
      <c r="BC56" s="133">
        <f>'Anketa-2014'!G57</f>
        <v>0</v>
      </c>
      <c r="BD56" s="133">
        <f t="shared" si="21"/>
        <v>0</v>
      </c>
      <c r="BE56" s="133">
        <f t="shared" si="22"/>
        <v>0</v>
      </c>
      <c r="BF56" s="133">
        <f t="shared" si="23"/>
        <v>1</v>
      </c>
      <c r="BG56" s="133">
        <f t="shared" si="24"/>
        <v>1</v>
      </c>
      <c r="BH56" s="133">
        <f t="shared" si="25"/>
        <v>2</v>
      </c>
      <c r="BI56" s="133" t="str">
        <f t="shared" si="26"/>
        <v>1</v>
      </c>
      <c r="BJ56" s="133" t="str">
        <f t="shared" si="27"/>
        <v>1</v>
      </c>
      <c r="BK56" s="133">
        <f t="shared" si="28"/>
        <v>0</v>
      </c>
      <c r="BL56" s="133">
        <f t="shared" si="29"/>
        <v>0</v>
      </c>
      <c r="BM56" s="133" t="str">
        <f t="shared" si="30"/>
        <v>0</v>
      </c>
      <c r="BN56" s="133" t="str">
        <f t="shared" si="31"/>
        <v>0</v>
      </c>
      <c r="BO56" s="133">
        <f t="shared" si="32"/>
        <v>1</v>
      </c>
      <c r="BP56" s="134" t="str">
        <f t="shared" si="33"/>
        <v>1</v>
      </c>
      <c r="BQ56" s="134" t="str">
        <f t="shared" si="34"/>
        <v>1</v>
      </c>
      <c r="BR56" s="134" t="str">
        <f t="shared" si="35"/>
        <v>0</v>
      </c>
    </row>
    <row r="57" spans="1:70" s="69" customFormat="1" x14ac:dyDescent="0.2">
      <c r="A57" s="89">
        <v>46</v>
      </c>
      <c r="B57" s="90" t="str">
        <f t="shared" si="0"/>
        <v>Пай</v>
      </c>
      <c r="C57" s="91" t="str">
        <f t="shared" si="1"/>
        <v>Июнь 26, 2014</v>
      </c>
      <c r="D57" s="92">
        <f t="shared" si="19"/>
        <v>0.875</v>
      </c>
      <c r="E57" s="93" t="str">
        <f>AB50</f>
        <v>Португалия</v>
      </c>
      <c r="F57" s="54"/>
      <c r="G57" s="55"/>
      <c r="H57" s="100" t="str">
        <f>AB51</f>
        <v>Гана</v>
      </c>
      <c r="I57" s="310">
        <f t="shared" si="20"/>
        <v>3</v>
      </c>
      <c r="J57" s="311"/>
      <c r="K57" s="2"/>
      <c r="L57" s="22" t="str">
        <f>VLOOKUP(2,AA55:AK58,2,FALSE)</f>
        <v>Россия</v>
      </c>
      <c r="M57" s="28">
        <f>N57+O57+P57</f>
        <v>0</v>
      </c>
      <c r="N57" s="28">
        <f>VLOOKUP(2,AA55:AK58,3,FALSE)</f>
        <v>0</v>
      </c>
      <c r="O57" s="28">
        <f>VLOOKUP(2,AA55:AK58,4,FALSE)</f>
        <v>0</v>
      </c>
      <c r="P57" s="28">
        <f>VLOOKUP(2,AA55:AK58,5,FALSE)</f>
        <v>0</v>
      </c>
      <c r="Q57" s="28" t="str">
        <f>VLOOKUP(2,AA55:AK58,6,FALSE) &amp; " - " &amp; VLOOKUP(2,AA55:AK58,7,FALSE)</f>
        <v>0 - 0</v>
      </c>
      <c r="R57" s="29">
        <f>N57*3+O57</f>
        <v>0</v>
      </c>
      <c r="S57" s="44"/>
      <c r="T57" s="64">
        <f>DATE(2014,6,26)+TIME(5,0,0)+gmt_delta</f>
        <v>41816.875</v>
      </c>
      <c r="U57" s="70" t="str">
        <f t="shared" si="2"/>
        <v/>
      </c>
      <c r="V57" s="70" t="str">
        <f t="shared" si="3"/>
        <v/>
      </c>
      <c r="W57" s="65">
        <f t="shared" si="4"/>
        <v>0</v>
      </c>
      <c r="X57" s="64">
        <f t="shared" si="5"/>
        <v>0</v>
      </c>
      <c r="Y57" s="64">
        <f t="shared" si="6"/>
        <v>0</v>
      </c>
      <c r="Z57" s="65"/>
      <c r="AA57" s="64">
        <f>COUNTIF(AN55:AN58,CONCATENATE("&gt;=",AN57))</f>
        <v>2</v>
      </c>
      <c r="AB57" s="65" t="str">
        <f>INDEX(T,49,lang)</f>
        <v>Россия</v>
      </c>
      <c r="AC57" s="64">
        <f>COUNTIF($U$12:$V$59,"=" &amp; AB57 &amp; "_win")</f>
        <v>0</v>
      </c>
      <c r="AD57" s="64">
        <f>COUNTIF($U$12:$V$59,"=" &amp; AB57 &amp; "_draw")</f>
        <v>0</v>
      </c>
      <c r="AE57" s="64">
        <f>COUNTIF($U$12:$V$59,"=" &amp; AB57 &amp; "_lose")</f>
        <v>0</v>
      </c>
      <c r="AF57" s="64">
        <f>SUMIF($E$12:$E$59,$AB57,$F$12:$F$59) + SUMIF($H$12:$H$59,$AB57,$G$12:$G$59)</f>
        <v>0</v>
      </c>
      <c r="AG57" s="64">
        <f>SUMIF($E$12:$E$59,$AB57,$G$12:$G$59) + SUMIF($H$12:$H$59,$AB57,$F$12:$F$59)</f>
        <v>0</v>
      </c>
      <c r="AH57" s="64">
        <f>(AF57-AG57)*100+AK57*10000+AF57</f>
        <v>0</v>
      </c>
      <c r="AI57" s="64">
        <f>AF57-AG57</f>
        <v>0</v>
      </c>
      <c r="AJ57" s="64">
        <f>(AI57-AI60)/AI59</f>
        <v>0</v>
      </c>
      <c r="AK57" s="64">
        <f>AC57*3+AD57</f>
        <v>0</v>
      </c>
      <c r="AL57" s="64">
        <f>AP57/AP59*1000+AQ57/AQ59*100+AT57/AT59*10+AR57/AR59</f>
        <v>0</v>
      </c>
      <c r="AM57" s="64">
        <f>VLOOKUP(AB57,db_fifarank,2,FALSE)/2000000</f>
        <v>4.5150000000000002E-4</v>
      </c>
      <c r="AN57" s="65">
        <f>1000*AK57/AK59+100*AJ57+10*AF57/AF59+1*AL57/AL59+AM57</f>
        <v>4.5150000000000002E-4</v>
      </c>
      <c r="AO57" s="66"/>
      <c r="AP57" s="67">
        <f>SUMPRODUCT(($U$12:$U$59=AB57&amp;"_win")*($W$12:$W$59))+SUMPRODUCT(($V$12:$V$59=AB57&amp;"_win")*($W$12:$W$59))</f>
        <v>0</v>
      </c>
      <c r="AQ57" s="68">
        <f>SUMPRODUCT(($U$12:$U$59=AB57&amp;"_draw")*($W$12:$W$59))+SUMPRODUCT(($V$12:$V$59=AB57&amp;"_draw")*($W$12:$W$59))</f>
        <v>0</v>
      </c>
      <c r="AR57" s="68">
        <f>SUMPRODUCT(($E$12:$E$59=AB57)*($W$12:$W$59)*($F$12:$F$59))+SUMPRODUCT(($H$12:$H$59=AB57)*($W$12:$W$59)*($G$12:$G$59))</f>
        <v>0</v>
      </c>
      <c r="AS57" s="68">
        <f>SUMPRODUCT(($E$12:$E$59=AB57)*($W$12:$W$59)*($G$12:$G$59))+SUMPRODUCT(($H$12:$H$59=AB57)*($W$12:$W$59)*($F$12:$F$59))</f>
        <v>0</v>
      </c>
      <c r="AT57" s="68">
        <f>AR57-AS57</f>
        <v>0</v>
      </c>
      <c r="AX57" s="83"/>
      <c r="AY57" s="2"/>
      <c r="AZ57" s="2"/>
      <c r="BA57" s="2"/>
      <c r="BB57" s="133">
        <f>'Anketa-2014'!F58</f>
        <v>0</v>
      </c>
      <c r="BC57" s="133">
        <f>'Anketa-2014'!G58</f>
        <v>0</v>
      </c>
      <c r="BD57" s="133">
        <f t="shared" si="21"/>
        <v>0</v>
      </c>
      <c r="BE57" s="133">
        <f t="shared" si="22"/>
        <v>0</v>
      </c>
      <c r="BF57" s="133">
        <f t="shared" si="23"/>
        <v>1</v>
      </c>
      <c r="BG57" s="133">
        <f t="shared" si="24"/>
        <v>1</v>
      </c>
      <c r="BH57" s="133">
        <f t="shared" si="25"/>
        <v>2</v>
      </c>
      <c r="BI57" s="133" t="str">
        <f t="shared" si="26"/>
        <v>1</v>
      </c>
      <c r="BJ57" s="133" t="str">
        <f t="shared" si="27"/>
        <v>1</v>
      </c>
      <c r="BK57" s="133">
        <f t="shared" si="28"/>
        <v>0</v>
      </c>
      <c r="BL57" s="133">
        <f t="shared" si="29"/>
        <v>0</v>
      </c>
      <c r="BM57" s="133" t="str">
        <f t="shared" si="30"/>
        <v>0</v>
      </c>
      <c r="BN57" s="133" t="str">
        <f t="shared" si="31"/>
        <v>0</v>
      </c>
      <c r="BO57" s="133">
        <f t="shared" si="32"/>
        <v>1</v>
      </c>
      <c r="BP57" s="134" t="str">
        <f t="shared" si="33"/>
        <v>1</v>
      </c>
      <c r="BQ57" s="134" t="str">
        <f t="shared" si="34"/>
        <v>1</v>
      </c>
      <c r="BR57" s="134" t="str">
        <f t="shared" si="35"/>
        <v>0</v>
      </c>
    </row>
    <row r="58" spans="1:70" s="69" customFormat="1" x14ac:dyDescent="0.2">
      <c r="A58" s="89">
        <v>47</v>
      </c>
      <c r="B58" s="90" t="str">
        <f t="shared" si="0"/>
        <v>Жума</v>
      </c>
      <c r="C58" s="91" t="str">
        <f t="shared" si="1"/>
        <v>Июнь 27, 2014</v>
      </c>
      <c r="D58" s="92">
        <f t="shared" si="19"/>
        <v>4.1666666666666664E-2</v>
      </c>
      <c r="E58" s="93" t="str">
        <f>AB58</f>
        <v>Жанубий Корея</v>
      </c>
      <c r="F58" s="54"/>
      <c r="G58" s="55"/>
      <c r="H58" s="100" t="str">
        <f>AB55</f>
        <v>Бельгия</v>
      </c>
      <c r="I58" s="310">
        <f t="shared" si="20"/>
        <v>3</v>
      </c>
      <c r="J58" s="311"/>
      <c r="K58" s="2"/>
      <c r="L58" s="22" t="str">
        <f>VLOOKUP(3,AA55:AK58,2,FALSE)</f>
        <v>Жазоир</v>
      </c>
      <c r="M58" s="28">
        <f>N58+O58+P58</f>
        <v>0</v>
      </c>
      <c r="N58" s="28">
        <f>VLOOKUP(3,AA55:AK58,3,FALSE)</f>
        <v>0</v>
      </c>
      <c r="O58" s="28">
        <f>VLOOKUP(3,AA55:AK58,4,FALSE)</f>
        <v>0</v>
      </c>
      <c r="P58" s="28">
        <f>VLOOKUP(3,AA55:AK58,5,FALSE)</f>
        <v>0</v>
      </c>
      <c r="Q58" s="28" t="str">
        <f>VLOOKUP(3,AA55:AK58,6,FALSE) &amp; " - " &amp; VLOOKUP(3,AA55:AK58,7,FALSE)</f>
        <v>0 - 0</v>
      </c>
      <c r="R58" s="29">
        <f>N58*3+O58</f>
        <v>0</v>
      </c>
      <c r="S58" s="44"/>
      <c r="T58" s="64">
        <f>DATE(2014,6,26)+TIME(9,0,0)+gmt_delta</f>
        <v>41817.041666666664</v>
      </c>
      <c r="U58" s="70" t="str">
        <f t="shared" si="2"/>
        <v/>
      </c>
      <c r="V58" s="70" t="str">
        <f t="shared" si="3"/>
        <v/>
      </c>
      <c r="W58" s="65">
        <f t="shared" si="4"/>
        <v>0</v>
      </c>
      <c r="X58" s="64">
        <f t="shared" si="5"/>
        <v>0</v>
      </c>
      <c r="Y58" s="64">
        <f t="shared" si="6"/>
        <v>0</v>
      </c>
      <c r="Z58" s="65"/>
      <c r="AA58" s="64">
        <f>COUNTIF(AN55:AN58,CONCATENATE("&gt;=",AN58))</f>
        <v>4</v>
      </c>
      <c r="AB58" s="65" t="str">
        <f>INDEX(T,44,lang)</f>
        <v>Жанубий Корея</v>
      </c>
      <c r="AC58" s="64">
        <f>COUNTIF($U$12:$V$59,"=" &amp; AB58 &amp; "_win")</f>
        <v>0</v>
      </c>
      <c r="AD58" s="64">
        <f>COUNTIF($U$12:$V$59,"=" &amp; AB58 &amp; "_draw")</f>
        <v>0</v>
      </c>
      <c r="AE58" s="64">
        <f>COUNTIF($U$12:$V$59,"=" &amp; AB58 &amp; "_lose")</f>
        <v>0</v>
      </c>
      <c r="AF58" s="64">
        <f>SUMIF($E$12:$E$59,$AB58,$F$12:$F$59) + SUMIF($H$12:$H$59,$AB58,$G$12:$G$59)</f>
        <v>0</v>
      </c>
      <c r="AG58" s="64">
        <f>SUMIF($E$12:$E$59,$AB58,$G$12:$G$59) + SUMIF($H$12:$H$59,$AB58,$F$12:$F$59)</f>
        <v>0</v>
      </c>
      <c r="AH58" s="64">
        <f>(AF58-AG58)*100+AK58*10000+AF58</f>
        <v>0</v>
      </c>
      <c r="AI58" s="64">
        <f>AF58-AG58</f>
        <v>0</v>
      </c>
      <c r="AJ58" s="64">
        <f>(AI58-AI60)/AI59</f>
        <v>0</v>
      </c>
      <c r="AK58" s="64">
        <f>AC58*3+AD58</f>
        <v>0</v>
      </c>
      <c r="AL58" s="64">
        <f>AP58/AP59*1000+AQ58/AQ59*100+AT58/AT59*10+AR58/AR59</f>
        <v>0</v>
      </c>
      <c r="AM58" s="64">
        <f>VLOOKUP(AB58,db_fifarank,2,FALSE)/2000000</f>
        <v>2.7549999999999997E-4</v>
      </c>
      <c r="AN58" s="65">
        <f>1000*AK58/AK59+100*AJ58+10*AF58/AF59+1*AL58/AL59+AM58</f>
        <v>2.7549999999999997E-4</v>
      </c>
      <c r="AO58" s="66"/>
      <c r="AP58" s="67">
        <f>SUMPRODUCT(($U$12:$U$59=AB58&amp;"_win")*($W$12:$W$59))+SUMPRODUCT(($V$12:$V$59=AB58&amp;"_win")*($W$12:$W$59))</f>
        <v>0</v>
      </c>
      <c r="AQ58" s="68">
        <f>SUMPRODUCT(($U$12:$U$59=AB58&amp;"_draw")*($W$12:$W$59))+SUMPRODUCT(($V$12:$V$59=AB58&amp;"_draw")*($W$12:$W$59))</f>
        <v>0</v>
      </c>
      <c r="AR58" s="68">
        <f>SUMPRODUCT(($E$12:$E$59=AB58)*($W$12:$W$59)*($F$12:$F$59))+SUMPRODUCT(($H$12:$H$59=AB58)*($W$12:$W$59)*($G$12:$G$59))</f>
        <v>0</v>
      </c>
      <c r="AS58" s="68">
        <f>SUMPRODUCT(($E$12:$E$59=AB58)*($W$12:$W$59)*($G$12:$G$59))+SUMPRODUCT(($H$12:$H$59=AB58)*($W$12:$W$59)*($F$12:$F$59))</f>
        <v>0</v>
      </c>
      <c r="AT58" s="68">
        <f>AR58-AS58</f>
        <v>0</v>
      </c>
      <c r="AX58" s="83"/>
      <c r="AY58" s="2"/>
      <c r="AZ58" s="2"/>
      <c r="BA58" s="2"/>
      <c r="BB58" s="133">
        <f>'Anketa-2014'!F59</f>
        <v>0</v>
      </c>
      <c r="BC58" s="133">
        <f>'Anketa-2014'!G59</f>
        <v>0</v>
      </c>
      <c r="BD58" s="133">
        <f t="shared" si="21"/>
        <v>0</v>
      </c>
      <c r="BE58" s="133">
        <f t="shared" si="22"/>
        <v>0</v>
      </c>
      <c r="BF58" s="133">
        <f t="shared" si="23"/>
        <v>1</v>
      </c>
      <c r="BG58" s="133">
        <f t="shared" si="24"/>
        <v>1</v>
      </c>
      <c r="BH58" s="133">
        <f t="shared" si="25"/>
        <v>2</v>
      </c>
      <c r="BI58" s="133" t="str">
        <f t="shared" si="26"/>
        <v>1</v>
      </c>
      <c r="BJ58" s="133" t="str">
        <f t="shared" si="27"/>
        <v>1</v>
      </c>
      <c r="BK58" s="133">
        <f t="shared" si="28"/>
        <v>0</v>
      </c>
      <c r="BL58" s="133">
        <f t="shared" si="29"/>
        <v>0</v>
      </c>
      <c r="BM58" s="133" t="str">
        <f t="shared" si="30"/>
        <v>0</v>
      </c>
      <c r="BN58" s="133" t="str">
        <f t="shared" si="31"/>
        <v>0</v>
      </c>
      <c r="BO58" s="133">
        <f t="shared" si="32"/>
        <v>1</v>
      </c>
      <c r="BP58" s="134" t="str">
        <f t="shared" si="33"/>
        <v>1</v>
      </c>
      <c r="BQ58" s="134" t="str">
        <f t="shared" si="34"/>
        <v>1</v>
      </c>
      <c r="BR58" s="134" t="str">
        <f t="shared" si="35"/>
        <v>0</v>
      </c>
    </row>
    <row r="59" spans="1:70" s="69" customFormat="1" x14ac:dyDescent="0.2">
      <c r="A59" s="94">
        <v>48</v>
      </c>
      <c r="B59" s="95" t="str">
        <f t="shared" si="0"/>
        <v>Жума</v>
      </c>
      <c r="C59" s="96" t="str">
        <f t="shared" si="1"/>
        <v>Июнь 27, 2014</v>
      </c>
      <c r="D59" s="97">
        <f t="shared" si="19"/>
        <v>4.1666666666666664E-2</v>
      </c>
      <c r="E59" s="98" t="str">
        <f>AB56</f>
        <v>Жазоир</v>
      </c>
      <c r="F59" s="56"/>
      <c r="G59" s="57"/>
      <c r="H59" s="101" t="str">
        <f>AB57</f>
        <v>Россия</v>
      </c>
      <c r="I59" s="310">
        <f t="shared" si="20"/>
        <v>3</v>
      </c>
      <c r="J59" s="311"/>
      <c r="K59" s="2"/>
      <c r="L59" s="23" t="str">
        <f>VLOOKUP(4,AA55:AK58,2,FALSE)</f>
        <v>Жанубий Корея</v>
      </c>
      <c r="M59" s="30">
        <f>N59+O59+P59</f>
        <v>0</v>
      </c>
      <c r="N59" s="30">
        <f>VLOOKUP(4,AA55:AK58,3,FALSE)</f>
        <v>0</v>
      </c>
      <c r="O59" s="30">
        <f>VLOOKUP(4,AA55:AK58,4,FALSE)</f>
        <v>0</v>
      </c>
      <c r="P59" s="30">
        <f>VLOOKUP(4,AA55:AK58,5,FALSE)</f>
        <v>0</v>
      </c>
      <c r="Q59" s="30" t="str">
        <f>VLOOKUP(4,AA55:AK58,6,FALSE) &amp; " - " &amp; VLOOKUP(4,AA55:AK58,7,FALSE)</f>
        <v>0 - 0</v>
      </c>
      <c r="R59" s="31">
        <f>N59*3+O59</f>
        <v>0</v>
      </c>
      <c r="S59" s="44"/>
      <c r="T59" s="64">
        <f>DATE(2014,6,26)+TIME(9,0,0)+gmt_delta</f>
        <v>41817.041666666664</v>
      </c>
      <c r="U59" s="70" t="str">
        <f t="shared" si="2"/>
        <v/>
      </c>
      <c r="V59" s="70" t="str">
        <f t="shared" si="3"/>
        <v/>
      </c>
      <c r="W59" s="65">
        <f t="shared" si="4"/>
        <v>0</v>
      </c>
      <c r="X59" s="64">
        <f t="shared" si="5"/>
        <v>0</v>
      </c>
      <c r="Y59" s="64">
        <f t="shared" si="6"/>
        <v>0</v>
      </c>
      <c r="Z59" s="65"/>
      <c r="AA59" s="64"/>
      <c r="AB59" s="65"/>
      <c r="AC59" s="64">
        <f t="shared" ref="AC59:AL59" si="43">MAX(AC55:AC58)-MIN(AC55:AC58)+1</f>
        <v>1</v>
      </c>
      <c r="AD59" s="64">
        <f t="shared" si="43"/>
        <v>1</v>
      </c>
      <c r="AE59" s="64">
        <f t="shared" si="43"/>
        <v>1</v>
      </c>
      <c r="AF59" s="64">
        <f t="shared" si="43"/>
        <v>1</v>
      </c>
      <c r="AG59" s="64">
        <f t="shared" si="43"/>
        <v>1</v>
      </c>
      <c r="AH59" s="64">
        <f>MAX(AH55:AH58)-AH60+1</f>
        <v>1</v>
      </c>
      <c r="AI59" s="64">
        <f>MAX(AI55:AI58)-AI60+1</f>
        <v>1</v>
      </c>
      <c r="AJ59" s="64"/>
      <c r="AK59" s="64">
        <f t="shared" si="43"/>
        <v>1</v>
      </c>
      <c r="AL59" s="64">
        <f t="shared" si="43"/>
        <v>1</v>
      </c>
      <c r="AM59" s="65"/>
      <c r="AN59" s="65"/>
      <c r="AO59" s="66"/>
      <c r="AP59" s="64">
        <f>MAX(AP55:AP58)-MIN(AP55:AP58)+1</f>
        <v>1</v>
      </c>
      <c r="AQ59" s="64">
        <f>MAX(AQ55:AQ58)-MIN(AQ55:AQ58)+1</f>
        <v>1</v>
      </c>
      <c r="AR59" s="64">
        <f>MAX(AR55:AR58)-MIN(AR55:AR58)+1</f>
        <v>1</v>
      </c>
      <c r="AS59" s="64">
        <f>MAX(AS55:AS58)-MIN(AS55:AS58)+1</f>
        <v>1</v>
      </c>
      <c r="AT59" s="64">
        <f>MAX(AT55:AT58)-MIN(AT55:AT58)+1</f>
        <v>1</v>
      </c>
      <c r="AX59" s="83"/>
      <c r="AY59" s="2"/>
      <c r="AZ59" s="2"/>
      <c r="BA59" s="2"/>
      <c r="BB59" s="133">
        <f>'Anketa-2014'!F60</f>
        <v>0</v>
      </c>
      <c r="BC59" s="133">
        <f>'Anketa-2014'!G60</f>
        <v>0</v>
      </c>
      <c r="BD59" s="133">
        <f t="shared" si="21"/>
        <v>0</v>
      </c>
      <c r="BE59" s="133">
        <f t="shared" si="22"/>
        <v>0</v>
      </c>
      <c r="BF59" s="133">
        <f t="shared" si="23"/>
        <v>1</v>
      </c>
      <c r="BG59" s="133">
        <f t="shared" si="24"/>
        <v>1</v>
      </c>
      <c r="BH59" s="133">
        <f t="shared" si="25"/>
        <v>2</v>
      </c>
      <c r="BI59" s="133" t="str">
        <f t="shared" si="26"/>
        <v>1</v>
      </c>
      <c r="BJ59" s="133" t="str">
        <f t="shared" si="27"/>
        <v>1</v>
      </c>
      <c r="BK59" s="133">
        <f t="shared" si="28"/>
        <v>0</v>
      </c>
      <c r="BL59" s="133">
        <f t="shared" si="29"/>
        <v>0</v>
      </c>
      <c r="BM59" s="133" t="str">
        <f t="shared" si="30"/>
        <v>0</v>
      </c>
      <c r="BN59" s="133" t="str">
        <f t="shared" si="31"/>
        <v>0</v>
      </c>
      <c r="BO59" s="133">
        <f t="shared" si="32"/>
        <v>1</v>
      </c>
      <c r="BP59" s="134" t="str">
        <f t="shared" si="33"/>
        <v>1</v>
      </c>
      <c r="BQ59" s="134" t="str">
        <f t="shared" si="34"/>
        <v>1</v>
      </c>
      <c r="BR59" s="134" t="str">
        <f t="shared" si="35"/>
        <v>0</v>
      </c>
    </row>
    <row r="60" spans="1:70" s="69" customFormat="1" ht="13.5" thickBot="1" x14ac:dyDescent="0.25">
      <c r="A60" s="72"/>
      <c r="B60" s="73"/>
      <c r="C60" s="72"/>
      <c r="D60" s="74"/>
      <c r="E60" s="75"/>
      <c r="F60" s="82"/>
      <c r="G60" s="82"/>
      <c r="H60" s="76"/>
      <c r="I60" s="78"/>
      <c r="J60" s="78"/>
      <c r="K60" s="79"/>
      <c r="L60" s="80"/>
      <c r="M60" s="72"/>
      <c r="N60" s="72"/>
      <c r="O60" s="72"/>
      <c r="P60" s="72"/>
      <c r="Q60" s="72"/>
      <c r="R60" s="72"/>
      <c r="S60" s="44"/>
      <c r="T60" s="64"/>
      <c r="U60" s="70"/>
      <c r="V60" s="70"/>
      <c r="W60" s="65"/>
      <c r="X60" s="64"/>
      <c r="Y60" s="64"/>
      <c r="Z60" s="65"/>
      <c r="AA60" s="64"/>
      <c r="AB60" s="65"/>
      <c r="AC60" s="64"/>
      <c r="AD60" s="64"/>
      <c r="AE60" s="64"/>
      <c r="AF60" s="64"/>
      <c r="AG60" s="64"/>
      <c r="AH60" s="64">
        <f>MIN(AH55:AH58)</f>
        <v>0</v>
      </c>
      <c r="AI60" s="64">
        <f>MIN(AI55:AI58)</f>
        <v>0</v>
      </c>
      <c r="AJ60" s="64"/>
      <c r="AK60" s="64"/>
      <c r="AL60" s="64"/>
      <c r="AM60" s="65"/>
      <c r="AN60" s="65"/>
      <c r="AO60" s="66"/>
      <c r="AP60" s="67"/>
      <c r="AQ60" s="68"/>
      <c r="AR60" s="68"/>
      <c r="AS60" s="68"/>
      <c r="AT60" s="68"/>
      <c r="AX60" s="83"/>
      <c r="AY60" s="2"/>
      <c r="AZ60" s="2"/>
      <c r="BA60" s="2"/>
      <c r="BB60" s="2"/>
      <c r="BC60" s="2"/>
      <c r="BD60" s="2"/>
      <c r="BE60" s="2"/>
      <c r="BF60" s="2"/>
      <c r="BG60" s="2"/>
      <c r="BH60" s="2"/>
      <c r="BI60" s="2"/>
      <c r="BJ60" s="2"/>
      <c r="BK60" s="2"/>
      <c r="BL60" s="2"/>
      <c r="BM60" s="2"/>
      <c r="BN60" s="2"/>
      <c r="BO60" s="2"/>
      <c r="BP60" s="2"/>
      <c r="BQ60" s="2"/>
      <c r="BR60" s="2"/>
    </row>
    <row r="61" spans="1:70" s="69" customFormat="1" ht="12.75" hidden="1" customHeight="1" x14ac:dyDescent="0.2">
      <c r="A61" s="1"/>
      <c r="B61" s="243" t="s">
        <v>2746</v>
      </c>
      <c r="C61" s="243"/>
      <c r="D61" s="243"/>
      <c r="E61" s="243"/>
      <c r="F61" s="130"/>
      <c r="G61" s="239" t="s">
        <v>2746</v>
      </c>
      <c r="H61" s="239"/>
      <c r="I61" s="239"/>
      <c r="J61" s="239"/>
      <c r="K61" s="72"/>
      <c r="L61" s="243" t="s">
        <v>2746</v>
      </c>
      <c r="M61" s="243"/>
      <c r="N61" s="243"/>
      <c r="O61" s="243"/>
      <c r="P61" s="243"/>
      <c r="Q61" s="243"/>
      <c r="R61" s="243"/>
      <c r="S61" s="44"/>
      <c r="T61" s="64"/>
      <c r="U61" s="70"/>
      <c r="V61" s="70"/>
      <c r="W61" s="65"/>
      <c r="X61" s="64"/>
      <c r="Y61" s="64"/>
      <c r="Z61" s="65"/>
      <c r="AA61" s="64"/>
      <c r="AB61" s="65"/>
      <c r="AC61" s="64"/>
      <c r="AD61" s="64"/>
      <c r="AE61" s="64"/>
      <c r="AF61" s="64"/>
      <c r="AG61" s="64"/>
      <c r="AH61" s="64"/>
      <c r="AI61" s="64"/>
      <c r="AJ61" s="64"/>
      <c r="AK61" s="64"/>
      <c r="AL61" s="64"/>
      <c r="AM61" s="65"/>
      <c r="AN61" s="65"/>
      <c r="AO61" s="66"/>
      <c r="AP61" s="67"/>
      <c r="AQ61" s="68"/>
      <c r="AR61" s="68"/>
      <c r="AS61" s="68"/>
      <c r="AT61" s="68"/>
      <c r="AX61" s="83"/>
      <c r="AY61" s="2"/>
      <c r="AZ61" s="2"/>
      <c r="BA61" s="2"/>
      <c r="BB61" s="2"/>
      <c r="BC61" s="2"/>
      <c r="BD61" s="2"/>
      <c r="BE61" s="2"/>
      <c r="BF61" s="2"/>
      <c r="BG61" s="2"/>
      <c r="BH61" s="2"/>
      <c r="BI61" s="2"/>
      <c r="BJ61" s="2"/>
      <c r="BK61" s="2"/>
      <c r="BL61" s="2"/>
      <c r="BM61" s="2"/>
      <c r="BN61" s="2"/>
      <c r="BO61" s="136">
        <f>BO12+BO13+BO14+BO15+BO16+BO17+BO18+BO19+BO20+BO21+BO22+BO23+BO24+BO25+BO26+BO27+BO28+BO29+BO30+BO31+BO32+BO33+BO34+BO35++BO59+BO58+BO57+BO56+BO55+BO54+BO53+BO52+BO51+BO50+BO49+BO48+BO47+BO46+BO45+BO44+BO43+BO42+BO41+BO40+BO39+BO38+BO37+BO36</f>
        <v>48</v>
      </c>
      <c r="BP61" s="136">
        <f t="shared" ref="BP61:BR61" si="44">BP12+BP13+BP14+BP15+BP16+BP17+BP18+BP19+BP20+BP21+BP22+BP23+BP24+BP25+BP26+BP27+BP28+BP29+BP30+BP31+BP32+BP33+BP34+BP35++BP59+BP58+BP57+BP56+BP55+BP54+BP53+BP52+BP51+BP50+BP49+BP48+BP47+BP46+BP45+BP44+BP43+BP42+BP41+BP40+BP39+BP38+BP37+BP36</f>
        <v>48</v>
      </c>
      <c r="BQ61" s="136">
        <f t="shared" si="44"/>
        <v>48</v>
      </c>
      <c r="BR61" s="136">
        <f t="shared" si="44"/>
        <v>0</v>
      </c>
    </row>
    <row r="62" spans="1:70" s="69" customFormat="1" ht="12.75" hidden="1" customHeight="1" x14ac:dyDescent="0.2">
      <c r="A62" s="1"/>
      <c r="B62" s="243"/>
      <c r="C62" s="243"/>
      <c r="D62" s="243"/>
      <c r="E62" s="243"/>
      <c r="F62" s="130"/>
      <c r="G62" s="239"/>
      <c r="H62" s="239"/>
      <c r="I62" s="239"/>
      <c r="J62" s="239"/>
      <c r="K62" s="72"/>
      <c r="L62" s="243"/>
      <c r="M62" s="243"/>
      <c r="N62" s="243"/>
      <c r="O62" s="243"/>
      <c r="P62" s="243"/>
      <c r="Q62" s="243"/>
      <c r="R62" s="243"/>
      <c r="S62" s="44"/>
      <c r="T62" s="64"/>
      <c r="U62" s="70"/>
      <c r="V62" s="70"/>
      <c r="W62" s="65"/>
      <c r="X62" s="64"/>
      <c r="Y62" s="64"/>
      <c r="Z62" s="65"/>
      <c r="AA62" s="64"/>
      <c r="AB62" s="65"/>
      <c r="AC62" s="64"/>
      <c r="AD62" s="64"/>
      <c r="AE62" s="64"/>
      <c r="AF62" s="64"/>
      <c r="AG62" s="64"/>
      <c r="AH62" s="64"/>
      <c r="AI62" s="64"/>
      <c r="AJ62" s="64"/>
      <c r="AK62" s="64"/>
      <c r="AL62" s="64"/>
      <c r="AM62" s="65"/>
      <c r="AN62" s="65"/>
      <c r="AO62" s="66"/>
      <c r="AP62" s="67"/>
      <c r="AQ62" s="68"/>
      <c r="AR62" s="68"/>
      <c r="AS62" s="68"/>
      <c r="AT62" s="68"/>
      <c r="AX62" s="83"/>
      <c r="AY62" s="2"/>
      <c r="AZ62" s="2"/>
      <c r="BA62" s="2"/>
      <c r="BB62" s="2"/>
      <c r="BC62" s="2"/>
      <c r="BD62" s="2"/>
      <c r="BE62" s="2"/>
      <c r="BF62" s="2"/>
      <c r="BG62" s="2"/>
      <c r="BH62" s="2"/>
      <c r="BI62" s="2"/>
      <c r="BJ62" s="2"/>
      <c r="BK62" s="2"/>
      <c r="BL62" s="2"/>
      <c r="BM62" s="2"/>
      <c r="BN62" s="2"/>
      <c r="BO62" s="2"/>
      <c r="BP62" s="2"/>
      <c r="BQ62" s="2"/>
      <c r="BR62" s="2"/>
    </row>
    <row r="63" spans="1:70" s="69" customFormat="1" ht="13.5" hidden="1" thickBot="1" x14ac:dyDescent="0.25">
      <c r="A63" s="1"/>
      <c r="B63" s="1"/>
      <c r="C63" s="1"/>
      <c r="D63" s="3"/>
      <c r="E63" s="4"/>
      <c r="F63" s="5"/>
      <c r="G63" s="5"/>
      <c r="H63" s="6"/>
      <c r="I63" s="4"/>
      <c r="J63" s="4"/>
      <c r="K63" s="2"/>
      <c r="L63" s="24"/>
      <c r="M63" s="25"/>
      <c r="N63" s="25"/>
      <c r="O63" s="25"/>
      <c r="P63" s="25"/>
      <c r="Q63" s="25"/>
      <c r="R63" s="25"/>
      <c r="S63" s="44"/>
      <c r="T63" s="64">
        <f>DATE(2014,6,28)+TIME(5,0,0)+gmt_delta</f>
        <v>41818.875</v>
      </c>
      <c r="U63" s="70" t="str">
        <f>IF(OR(F67="",G67=""),"",IF(F67&gt;G67,E67,IF(F67&lt;G67,H67,IF(OR(I67="",J67=""),"draw",IF(I67&gt;J67,E67,IF(I67&lt;J67,H67,"draw"))))))</f>
        <v/>
      </c>
      <c r="V63" s="70" t="str">
        <f>IF(OR(U63="",U63="draw"),INDEX(T,86,lang),U63)</f>
        <v>W49</v>
      </c>
      <c r="W63" s="65"/>
      <c r="X63" s="64"/>
      <c r="Y63" s="64"/>
      <c r="Z63" s="65"/>
      <c r="AA63" s="64"/>
      <c r="AB63" s="65"/>
      <c r="AC63" s="64"/>
      <c r="AD63" s="64"/>
      <c r="AE63" s="64"/>
      <c r="AF63" s="64"/>
      <c r="AG63" s="64"/>
      <c r="AH63" s="64"/>
      <c r="AI63" s="64"/>
      <c r="AJ63" s="64"/>
      <c r="AK63" s="64"/>
      <c r="AL63" s="64"/>
      <c r="AM63" s="65"/>
      <c r="AN63" s="65"/>
      <c r="AO63" s="66"/>
      <c r="AP63" s="67"/>
      <c r="AQ63" s="68"/>
      <c r="AR63" s="68"/>
      <c r="AS63" s="68"/>
      <c r="AT63" s="68"/>
      <c r="AX63" s="83"/>
      <c r="AY63" s="2"/>
      <c r="AZ63" s="2"/>
      <c r="BA63" s="2"/>
      <c r="BB63" s="2"/>
      <c r="BC63" s="2"/>
      <c r="BD63" s="2"/>
      <c r="BE63" s="2"/>
      <c r="BF63" s="2"/>
      <c r="BG63" s="2"/>
      <c r="BH63" s="2"/>
      <c r="BI63" s="2"/>
      <c r="BJ63" s="2"/>
      <c r="BK63" s="2"/>
      <c r="BL63" s="2"/>
      <c r="BM63" s="2"/>
      <c r="BN63" s="2"/>
      <c r="BO63" s="2"/>
      <c r="BP63" s="2"/>
      <c r="BQ63" s="2"/>
      <c r="BR63" s="2"/>
    </row>
    <row r="64" spans="1:70" s="69" customFormat="1" ht="12.75" customHeight="1" x14ac:dyDescent="0.2">
      <c r="A64" s="233" t="str">
        <f>INDEX(T,4,lang)</f>
        <v>Нимчорак финал</v>
      </c>
      <c r="B64" s="234"/>
      <c r="C64" s="234"/>
      <c r="D64" s="234"/>
      <c r="E64" s="234"/>
      <c r="F64" s="234"/>
      <c r="G64" s="234"/>
      <c r="H64" s="234"/>
      <c r="I64" s="234"/>
      <c r="J64" s="235"/>
      <c r="K64" s="2"/>
      <c r="L64" s="312" t="s">
        <v>2797</v>
      </c>
      <c r="M64" s="25"/>
      <c r="N64" s="277" t="s">
        <v>2816</v>
      </c>
      <c r="O64" s="278"/>
      <c r="P64" s="278"/>
      <c r="Q64" s="278"/>
      <c r="R64" s="279"/>
      <c r="S64" s="44"/>
      <c r="T64" s="64">
        <f>DATE(2014,6,28)+TIME(9,0,0)+gmt_delta</f>
        <v>41819.041666666664</v>
      </c>
      <c r="U64" s="70" t="str">
        <f>IF(OR(F68="",G68=""),"",IF(F68&gt;G68,E68,IF(F68&lt;G68,H68,IF(OR(I68="",J68=""),"draw",IF(I68&gt;J68,E68,IF(I68&lt;J68,H68,"draw"))))))</f>
        <v/>
      </c>
      <c r="V64" s="70" t="str">
        <f>IF(OR(U64="",U64="draw"),INDEX(T,87,lang),U64)</f>
        <v>W50</v>
      </c>
      <c r="W64" s="65"/>
      <c r="X64" s="64"/>
      <c r="Y64" s="64"/>
      <c r="Z64" s="65"/>
      <c r="AA64" s="64"/>
      <c r="AB64" s="65"/>
      <c r="AC64" s="64"/>
      <c r="AD64" s="64"/>
      <c r="AE64" s="64"/>
      <c r="AF64" s="64"/>
      <c r="AG64" s="64"/>
      <c r="AH64" s="64"/>
      <c r="AI64" s="64"/>
      <c r="AJ64" s="64"/>
      <c r="AK64" s="64"/>
      <c r="AL64" s="64"/>
      <c r="AM64" s="65"/>
      <c r="AN64" s="65"/>
      <c r="AO64" s="66"/>
      <c r="AP64" s="67"/>
      <c r="AQ64" s="68"/>
      <c r="AR64" s="68"/>
      <c r="AS64" s="68"/>
      <c r="AT64" s="68"/>
      <c r="AX64" s="83"/>
      <c r="AY64" s="2"/>
      <c r="AZ64" s="2"/>
      <c r="BA64" s="2"/>
      <c r="BB64" s="2"/>
      <c r="BC64" s="2"/>
      <c r="BD64" s="2"/>
      <c r="BE64" s="2"/>
      <c r="BF64" s="2"/>
      <c r="BG64" s="2"/>
      <c r="BH64" s="2"/>
      <c r="BI64" s="2"/>
      <c r="BJ64" s="2"/>
      <c r="BK64" s="2"/>
      <c r="BL64" s="2"/>
      <c r="BM64" s="2"/>
      <c r="BN64" s="2"/>
      <c r="BO64" s="2"/>
      <c r="BP64" s="2"/>
      <c r="BQ64" s="2"/>
      <c r="BR64" s="2"/>
    </row>
    <row r="65" spans="1:84" s="69" customFormat="1" ht="12.75" customHeight="1" thickBot="1" x14ac:dyDescent="0.25">
      <c r="A65" s="236"/>
      <c r="B65" s="237"/>
      <c r="C65" s="237"/>
      <c r="D65" s="237"/>
      <c r="E65" s="237"/>
      <c r="F65" s="237"/>
      <c r="G65" s="237"/>
      <c r="H65" s="237"/>
      <c r="I65" s="237"/>
      <c r="J65" s="238"/>
      <c r="K65" s="2"/>
      <c r="L65" s="313"/>
      <c r="M65" s="25"/>
      <c r="N65" s="280"/>
      <c r="O65" s="281"/>
      <c r="P65" s="281"/>
      <c r="Q65" s="281"/>
      <c r="R65" s="282"/>
      <c r="S65" s="44"/>
      <c r="T65" s="64">
        <f>DATE(2014,6,29)+TIME(5,0,0)+gmt_delta</f>
        <v>41819.875</v>
      </c>
      <c r="U65" s="70" t="str">
        <f>IF(OR(F69="",G69=""),"",IF(F69&gt;G69,E69,IF(F69&lt;G69,H69,IF(OR(I69="",J69=""),"draw",IF(I69&gt;J69,E69,IF(I69&lt;J69,H69,"draw"))))))</f>
        <v/>
      </c>
      <c r="V65" s="70" t="str">
        <f>IF(OR(U65="",U65="draw"),INDEX(T,88,lang),U65)</f>
        <v>W51</v>
      </c>
      <c r="W65" s="65"/>
      <c r="X65" s="64"/>
      <c r="Y65" s="64"/>
      <c r="Z65" s="65"/>
      <c r="AA65" s="64"/>
      <c r="AB65" s="65"/>
      <c r="AC65" s="64"/>
      <c r="AD65" s="64"/>
      <c r="AE65" s="64"/>
      <c r="AF65" s="64"/>
      <c r="AG65" s="64"/>
      <c r="AH65" s="64"/>
      <c r="AI65" s="64"/>
      <c r="AJ65" s="64"/>
      <c r="AK65" s="64"/>
      <c r="AL65" s="64"/>
      <c r="AM65" s="65"/>
      <c r="AN65" s="65"/>
      <c r="AO65" s="66"/>
      <c r="AP65" s="67"/>
      <c r="AQ65" s="68"/>
      <c r="AR65" s="68"/>
      <c r="AS65" s="68"/>
      <c r="AT65" s="68"/>
      <c r="AX65" s="83"/>
      <c r="AY65" s="2"/>
      <c r="AZ65" s="2"/>
      <c r="BA65" s="2"/>
      <c r="BB65" s="2"/>
      <c r="BC65" s="2"/>
      <c r="BD65" s="2"/>
      <c r="BE65" s="2"/>
      <c r="BF65" s="2"/>
      <c r="BG65" s="2"/>
      <c r="BH65" s="2"/>
      <c r="BI65" s="2"/>
      <c r="BJ65" s="2"/>
      <c r="BK65" s="2"/>
      <c r="BL65" s="2"/>
      <c r="BM65" s="2"/>
      <c r="BN65" s="2"/>
      <c r="BO65" s="2"/>
      <c r="BP65" s="2"/>
      <c r="BQ65" s="2"/>
      <c r="BR65" s="2"/>
    </row>
    <row r="66" spans="1:84" s="69" customFormat="1" ht="12.75" customHeight="1" thickBot="1" x14ac:dyDescent="0.25">
      <c r="A66" s="131"/>
      <c r="B66" s="131"/>
      <c r="C66" s="131"/>
      <c r="D66" s="131"/>
      <c r="E66" s="131"/>
      <c r="F66" s="244" t="s">
        <v>2740</v>
      </c>
      <c r="G66" s="245"/>
      <c r="H66" s="131"/>
      <c r="I66" s="244" t="s">
        <v>2741</v>
      </c>
      <c r="J66" s="245"/>
      <c r="K66" s="2"/>
      <c r="L66" s="314"/>
      <c r="M66" s="147"/>
      <c r="N66" s="147"/>
      <c r="O66" s="147"/>
      <c r="P66" s="147"/>
      <c r="Q66" s="147"/>
      <c r="R66" s="25"/>
      <c r="S66" s="44"/>
      <c r="T66" s="64"/>
      <c r="U66" s="70"/>
      <c r="V66" s="70"/>
      <c r="W66" s="65"/>
      <c r="X66" s="64"/>
      <c r="Y66" s="64"/>
      <c r="Z66" s="65"/>
      <c r="AA66" s="64"/>
      <c r="AB66" s="65"/>
      <c r="AC66" s="64"/>
      <c r="AD66" s="64"/>
      <c r="AE66" s="64"/>
      <c r="AF66" s="64"/>
      <c r="AG66" s="64"/>
      <c r="AH66" s="64"/>
      <c r="AI66" s="64"/>
      <c r="AJ66" s="64"/>
      <c r="AK66" s="64"/>
      <c r="AL66" s="64"/>
      <c r="AM66" s="65"/>
      <c r="AN66" s="65"/>
      <c r="AO66" s="66"/>
      <c r="AP66" s="67"/>
      <c r="AQ66" s="68"/>
      <c r="AR66" s="68"/>
      <c r="AS66" s="68"/>
      <c r="AT66" s="68"/>
      <c r="AX66" s="83"/>
      <c r="AY66" s="2"/>
      <c r="AZ66" s="2"/>
      <c r="BA66" s="2"/>
      <c r="BB66" s="2"/>
      <c r="BC66" s="2"/>
      <c r="BD66" s="2"/>
      <c r="BE66" s="2"/>
      <c r="BF66" s="2"/>
      <c r="BG66" s="2"/>
      <c r="BH66" s="2"/>
      <c r="BI66" s="2"/>
      <c r="BJ66" s="2"/>
      <c r="BK66" s="2"/>
      <c r="BL66" s="2"/>
      <c r="BM66" s="2"/>
      <c r="BN66" s="2"/>
      <c r="BO66" s="2"/>
      <c r="BP66" s="2"/>
      <c r="BQ66" s="2"/>
      <c r="BR66" s="2"/>
      <c r="BT66" s="149" t="s">
        <v>2798</v>
      </c>
      <c r="BU66" s="149" t="s">
        <v>2799</v>
      </c>
      <c r="BV66" s="149" t="s">
        <v>2800</v>
      </c>
      <c r="BW66" s="149" t="s">
        <v>2761</v>
      </c>
      <c r="BX66" s="149" t="s">
        <v>2801</v>
      </c>
    </row>
    <row r="67" spans="1:84" s="69" customFormat="1" ht="12.75" customHeight="1" x14ac:dyDescent="0.2">
      <c r="A67" s="102">
        <v>49</v>
      </c>
      <c r="B67" s="103" t="str">
        <f>INDEX(T,18+INT(MOD(T63-1,7)),lang)</f>
        <v>Шанба</v>
      </c>
      <c r="C67" s="104" t="str">
        <f>INDEX(T,24+MONTH(T63),lang) &amp; " " &amp; DAY(T63) &amp; ", " &amp; YEAR(T63)</f>
        <v>Июнь 28, 2014</v>
      </c>
      <c r="D67" s="105">
        <f>TIME(HOUR(T63),MINUTE(T63),0)</f>
        <v>0.875</v>
      </c>
      <c r="E67" s="106" t="str">
        <f>AO13</f>
        <v>1A</v>
      </c>
      <c r="F67" s="60"/>
      <c r="G67" s="61"/>
      <c r="H67" s="109" t="str">
        <f>AO20</f>
        <v>2B</v>
      </c>
      <c r="I67" s="60"/>
      <c r="J67" s="61"/>
      <c r="K67" s="2"/>
      <c r="L67" s="163">
        <f t="shared" ref="L67:L74" si="45">CC68+CD68+CE68</f>
        <v>9</v>
      </c>
      <c r="M67" s="147"/>
      <c r="N67" s="283" t="s">
        <v>2819</v>
      </c>
      <c r="O67" s="284"/>
      <c r="P67" s="284"/>
      <c r="Q67" s="284"/>
      <c r="R67" s="285"/>
      <c r="S67" s="44"/>
      <c r="T67" s="64">
        <f>DATE(2014,6,29)+TIME(9,0,0)+gmt_delta</f>
        <v>41820.041666666664</v>
      </c>
      <c r="U67" s="70" t="str">
        <f>IF(OR(F70="",G70=""),"",IF(F70&gt;G70,E70,IF(F70&lt;G70,H70,IF(OR(I70="",J70=""),"draw",IF(I70&gt;J70,E70,IF(I70&lt;J70,H70,"draw"))))))</f>
        <v/>
      </c>
      <c r="V67" s="70" t="str">
        <f>IF(OR(U67="",U67="draw"),INDEX(T,89,lang),U67)</f>
        <v>W52</v>
      </c>
      <c r="W67" s="65"/>
      <c r="X67" s="64"/>
      <c r="Y67" s="64"/>
      <c r="Z67" s="65"/>
      <c r="AA67" s="64"/>
      <c r="AB67" s="65"/>
      <c r="AC67" s="64"/>
      <c r="AD67" s="64"/>
      <c r="AE67" s="64"/>
      <c r="AF67" s="64"/>
      <c r="AG67" s="64"/>
      <c r="AH67" s="64"/>
      <c r="AI67" s="64"/>
      <c r="AJ67" s="64"/>
      <c r="AK67" s="64"/>
      <c r="AL67" s="64"/>
      <c r="AM67" s="65"/>
      <c r="AN67" s="65"/>
      <c r="AO67" s="66"/>
      <c r="AP67" s="67"/>
      <c r="AQ67" s="68"/>
      <c r="AR67" s="68"/>
      <c r="AS67" s="68"/>
      <c r="AT67" s="68"/>
      <c r="AX67" s="83"/>
      <c r="AY67" s="2"/>
      <c r="AZ67" s="2"/>
      <c r="BA67" s="2"/>
      <c r="BB67" s="133">
        <f>'Anketa-2014'!F68</f>
        <v>0</v>
      </c>
      <c r="BC67" s="133">
        <f>'Anketa-2014'!G68</f>
        <v>0</v>
      </c>
      <c r="BD67" s="133">
        <f t="shared" ref="BD67:BE74" si="46">F67</f>
        <v>0</v>
      </c>
      <c r="BE67" s="133">
        <f t="shared" si="46"/>
        <v>0</v>
      </c>
      <c r="BF67" s="133">
        <f t="shared" ref="BF67:BF74" si="47">IF(BD67=BE67,1,0)</f>
        <v>1</v>
      </c>
      <c r="BG67" s="133">
        <f t="shared" ref="BG67:BG74" si="48">IF(BB67=BC67,1,)</f>
        <v>1</v>
      </c>
      <c r="BH67" s="133">
        <f t="shared" ref="BH67:BH74" si="49">COUNTIF(BF67:BG67,"1")</f>
        <v>2</v>
      </c>
      <c r="BI67" s="133" t="str">
        <f t="shared" ref="BI67:BJ74" si="50">IF(BD67=BB67,"1","0")</f>
        <v>1</v>
      </c>
      <c r="BJ67" s="133" t="str">
        <f t="shared" si="50"/>
        <v>1</v>
      </c>
      <c r="BK67" s="133">
        <f t="shared" ref="BK67:BK74" si="51">BD67-BE67</f>
        <v>0</v>
      </c>
      <c r="BL67" s="133">
        <f t="shared" ref="BL67:BL74" si="52">BB67-BC67</f>
        <v>0</v>
      </c>
      <c r="BM67" s="133" t="str">
        <f t="shared" ref="BM67:BM74" si="53">IF((BK67*BL67)&gt;=0.1,"1","0")</f>
        <v>0</v>
      </c>
      <c r="BN67" s="133" t="str">
        <f t="shared" ref="BN67:BN74" si="54">IF((BK67*BL67)&gt;=0.1,"1","0")</f>
        <v>0</v>
      </c>
      <c r="BO67" s="133">
        <f t="shared" ref="BO67:BO74" si="55">COUNTIF(BH67,"2")</f>
        <v>1</v>
      </c>
      <c r="BP67" s="134" t="str">
        <f t="shared" ref="BP67:BP74" si="56">IF(BI67+BJ67=2,"1","0")</f>
        <v>1</v>
      </c>
      <c r="BQ67" s="134" t="str">
        <f t="shared" ref="BQ67:BQ74" si="57">IF((BD67-BE67)=(BB67-BC67),"1","0")</f>
        <v>1</v>
      </c>
      <c r="BR67" s="134" t="str">
        <f t="shared" ref="BR67:BR74" si="58">IF((BM67+BN67)=2,"1","0")</f>
        <v>0</v>
      </c>
      <c r="BT67" s="150">
        <f>IF(E67&gt;'Anketa-2014'!E68,0,IF(E67&lt;'Anketa-2014'!E68,0,IF(E67='Anketa-2014'!E68, 1)))</f>
        <v>1</v>
      </c>
      <c r="BU67" s="150">
        <f>IF(H67&gt;'Anketa-2014'!H68,0,IF(H67&lt;'Anketa-2014'!H68, 0,IF(H67='Anketa-2014'!H68, 1)))</f>
        <v>1</v>
      </c>
      <c r="BV67" s="150">
        <f t="shared" ref="BV67:BV74" si="59">BO67+BP67+BQ67+BR67</f>
        <v>3</v>
      </c>
      <c r="BW67" s="150">
        <f>IF(BV67=3,1,IF(BV67&lt;3,0))</f>
        <v>1</v>
      </c>
      <c r="BX67" s="151">
        <f>BT67*BU67</f>
        <v>1</v>
      </c>
      <c r="BY67" s="151">
        <f>IF('Anketa-2014'!E79=E78,1,IF('Anketa-2014'!E79&lt;E78,0,IF('Anketa-2014'!E79&gt;E78,0)))</f>
        <v>1</v>
      </c>
      <c r="BZ67" s="151">
        <f>IF(BX67=1,3,IF(BX67=0,0))</f>
        <v>3</v>
      </c>
      <c r="CA67" s="151">
        <f>IF(BX67=0,1,IF(BX67=1,0))</f>
        <v>0</v>
      </c>
      <c r="CC67" s="152" t="s">
        <v>2802</v>
      </c>
      <c r="CD67" s="153"/>
      <c r="CE67" s="154"/>
      <c r="CF67" s="154"/>
    </row>
    <row r="68" spans="1:84" s="69" customFormat="1" ht="12.75" customHeight="1" x14ac:dyDescent="0.2">
      <c r="A68" s="89">
        <v>50</v>
      </c>
      <c r="B68" s="90" t="str">
        <f>INDEX(T,18+INT(MOD(T64-1,7)),lang)</f>
        <v>Якш</v>
      </c>
      <c r="C68" s="91" t="str">
        <f>INDEX(T,24+MONTH(T64),lang) &amp; " " &amp; DAY(T64) &amp; ", " &amp; YEAR(T64)</f>
        <v>Июнь 29, 2014</v>
      </c>
      <c r="D68" s="92">
        <f>TIME(HOUR(T64),MINUTE(T64),0)</f>
        <v>4.1666666666666664E-2</v>
      </c>
      <c r="E68" s="107" t="str">
        <f>AO25</f>
        <v>1C</v>
      </c>
      <c r="F68" s="54"/>
      <c r="G68" s="55"/>
      <c r="H68" s="111" t="str">
        <f>AO32</f>
        <v>2D</v>
      </c>
      <c r="I68" s="54"/>
      <c r="J68" s="55"/>
      <c r="K68" s="2"/>
      <c r="L68" s="164">
        <f t="shared" si="45"/>
        <v>9</v>
      </c>
      <c r="M68" s="147"/>
      <c r="N68" s="286"/>
      <c r="O68" s="287"/>
      <c r="P68" s="287"/>
      <c r="Q68" s="287"/>
      <c r="R68" s="288"/>
      <c r="S68" s="44"/>
      <c r="T68" s="64">
        <f>DATE(2014,6,30)+TIME(5,0,0)+gmt_delta</f>
        <v>41820.875</v>
      </c>
      <c r="U68" s="70" t="str">
        <f>IF(OR(F71="",G71=""),"",IF(F71&gt;G71,E71,IF(F71&lt;G71,H71,IF(OR(I71="",J71=""),"draw",IF(I71&gt;J71,E71,IF(I71&lt;J71,H71,"draw"))))))</f>
        <v/>
      </c>
      <c r="V68" s="70" t="str">
        <f>IF(OR(U68="",U68="draw"),INDEX(T,90,lang),U68)</f>
        <v>W53</v>
      </c>
      <c r="W68" s="65"/>
      <c r="X68" s="64"/>
      <c r="Y68" s="64"/>
      <c r="Z68" s="65"/>
      <c r="AA68" s="64"/>
      <c r="AB68" s="65"/>
      <c r="AC68" s="64"/>
      <c r="AD68" s="64"/>
      <c r="AE68" s="64"/>
      <c r="AF68" s="64"/>
      <c r="AG68" s="64"/>
      <c r="AH68" s="64"/>
      <c r="AI68" s="64"/>
      <c r="AJ68" s="64"/>
      <c r="AK68" s="64"/>
      <c r="AL68" s="64"/>
      <c r="AM68" s="65"/>
      <c r="AN68" s="65"/>
      <c r="AO68" s="66"/>
      <c r="AP68" s="67"/>
      <c r="AQ68" s="68"/>
      <c r="AR68" s="68"/>
      <c r="AS68" s="68"/>
      <c r="AT68" s="68"/>
      <c r="AX68" s="83"/>
      <c r="AY68" s="2"/>
      <c r="AZ68" s="2"/>
      <c r="BA68" s="2"/>
      <c r="BB68" s="133">
        <f>'Anketa-2014'!F69</f>
        <v>0</v>
      </c>
      <c r="BC68" s="133">
        <f>'Anketa-2014'!G69</f>
        <v>0</v>
      </c>
      <c r="BD68" s="133">
        <f t="shared" si="46"/>
        <v>0</v>
      </c>
      <c r="BE68" s="133">
        <f t="shared" si="46"/>
        <v>0</v>
      </c>
      <c r="BF68" s="133">
        <f t="shared" si="47"/>
        <v>1</v>
      </c>
      <c r="BG68" s="133">
        <f t="shared" si="48"/>
        <v>1</v>
      </c>
      <c r="BH68" s="133">
        <f t="shared" si="49"/>
        <v>2</v>
      </c>
      <c r="BI68" s="133" t="str">
        <f t="shared" si="50"/>
        <v>1</v>
      </c>
      <c r="BJ68" s="133" t="str">
        <f t="shared" si="50"/>
        <v>1</v>
      </c>
      <c r="BK68" s="133">
        <f t="shared" si="51"/>
        <v>0</v>
      </c>
      <c r="BL68" s="133">
        <f t="shared" si="52"/>
        <v>0</v>
      </c>
      <c r="BM68" s="133" t="str">
        <f t="shared" si="53"/>
        <v>0</v>
      </c>
      <c r="BN68" s="133" t="str">
        <f t="shared" si="54"/>
        <v>0</v>
      </c>
      <c r="BO68" s="133">
        <f t="shared" si="55"/>
        <v>1</v>
      </c>
      <c r="BP68" s="134" t="str">
        <f t="shared" si="56"/>
        <v>1</v>
      </c>
      <c r="BQ68" s="134" t="str">
        <f t="shared" si="57"/>
        <v>1</v>
      </c>
      <c r="BR68" s="134" t="str">
        <f t="shared" si="58"/>
        <v>0</v>
      </c>
      <c r="BT68" s="150">
        <f>IF(E68&gt;'Anketa-2014'!E69,0,IF(E68&lt;'Anketa-2014'!E69,0,IF(E68='Anketa-2014'!E69, 1)))</f>
        <v>1</v>
      </c>
      <c r="BU68" s="150">
        <f>IF(H68&gt;'Anketa-2014'!H69,0,IF(H68&lt;'Anketa-2014'!H69, 0,IF(H68='Anketa-2014'!H69, 1)))</f>
        <v>1</v>
      </c>
      <c r="BV68" s="150">
        <f t="shared" si="59"/>
        <v>3</v>
      </c>
      <c r="BW68" s="150">
        <f t="shared" ref="BW68:BW74" si="60">IF(BV68=3,1,IF(BV68&lt;3,0))</f>
        <v>1</v>
      </c>
      <c r="BX68" s="151">
        <f>BT68*BU68</f>
        <v>1</v>
      </c>
      <c r="BY68" s="151">
        <f>IF('Anketa-2014'!H79=H78,1,IF('Anketa-2014'!H79&lt;H78,0,IF('Anketa-2014'!H79&gt;H78,0)))</f>
        <v>1</v>
      </c>
      <c r="BZ68" s="151">
        <f>IF(BX68=1,3,IF(BX68=0,0))</f>
        <v>3</v>
      </c>
      <c r="CA68" s="151">
        <f>IF(BX68=0,1,IF(BX68=1,0))</f>
        <v>0</v>
      </c>
      <c r="CC68" s="155">
        <f t="shared" ref="CC68:CC75" si="61">(BT67*BU67*BW67)*6</f>
        <v>6</v>
      </c>
      <c r="CD68" s="148">
        <f t="shared" ref="CD68:CD75" si="62">BY67*BZ67</f>
        <v>3</v>
      </c>
      <c r="CE68" s="148">
        <f t="shared" ref="CE68:CE75" si="63">BY67*CA67</f>
        <v>0</v>
      </c>
      <c r="CF68" s="149"/>
    </row>
    <row r="69" spans="1:84" s="69" customFormat="1" ht="12.75" customHeight="1" x14ac:dyDescent="0.2">
      <c r="A69" s="89">
        <v>51</v>
      </c>
      <c r="B69" s="90" t="str">
        <f>INDEX(T,18+INT(MOD(T65-1,7)),lang)</f>
        <v>Якш</v>
      </c>
      <c r="C69" s="91" t="str">
        <f>INDEX(T,24+MONTH(T65),lang) &amp; " " &amp; DAY(T65) &amp; ", " &amp; YEAR(T65)</f>
        <v>Июнь 29, 2014</v>
      </c>
      <c r="D69" s="92">
        <f>TIME(HOUR(T65),MINUTE(T65),0)</f>
        <v>0.875</v>
      </c>
      <c r="E69" s="107" t="str">
        <f>AO19</f>
        <v>1B</v>
      </c>
      <c r="F69" s="54"/>
      <c r="G69" s="55"/>
      <c r="H69" s="111" t="str">
        <f>AO14</f>
        <v>2A</v>
      </c>
      <c r="I69" s="54"/>
      <c r="J69" s="55"/>
      <c r="K69" s="2"/>
      <c r="L69" s="164">
        <f t="shared" si="45"/>
        <v>9</v>
      </c>
      <c r="M69" s="25"/>
      <c r="N69" s="289"/>
      <c r="O69" s="290"/>
      <c r="P69" s="290"/>
      <c r="Q69" s="290"/>
      <c r="R69" s="291"/>
      <c r="S69" s="44"/>
      <c r="T69" s="64">
        <f>DATE(2014,6,30)+TIME(9,0,0)+gmt_delta</f>
        <v>41821.041666666664</v>
      </c>
      <c r="U69" s="70" t="str">
        <f>IF(OR(F72="",G72=""),"",IF(F72&gt;G72,E72,IF(F72&lt;G72,H72,IF(OR(I72="",J72=""),"draw",IF(I72&gt;J72,E72,IF(I72&lt;J72,H72,"draw"))))))</f>
        <v/>
      </c>
      <c r="V69" s="70" t="str">
        <f>IF(OR(U69="",U69="draw"),INDEX(T,91,lang),U69)</f>
        <v>W54</v>
      </c>
      <c r="W69" s="65"/>
      <c r="X69" s="64"/>
      <c r="Y69" s="64"/>
      <c r="Z69" s="65"/>
      <c r="AA69" s="64"/>
      <c r="AB69" s="65"/>
      <c r="AC69" s="64"/>
      <c r="AD69" s="64"/>
      <c r="AE69" s="64"/>
      <c r="AF69" s="64"/>
      <c r="AG69" s="64"/>
      <c r="AH69" s="64"/>
      <c r="AI69" s="64"/>
      <c r="AJ69" s="64"/>
      <c r="AK69" s="64"/>
      <c r="AL69" s="64"/>
      <c r="AM69" s="65"/>
      <c r="AN69" s="65"/>
      <c r="AO69" s="66"/>
      <c r="AP69" s="67"/>
      <c r="AQ69" s="68"/>
      <c r="AR69" s="68"/>
      <c r="AS69" s="68"/>
      <c r="AT69" s="68"/>
      <c r="AX69" s="83"/>
      <c r="AY69" s="2"/>
      <c r="AZ69" s="2"/>
      <c r="BA69" s="2"/>
      <c r="BB69" s="133">
        <f>'Anketa-2014'!F70</f>
        <v>0</v>
      </c>
      <c r="BC69" s="133">
        <f>'Anketa-2014'!G70</f>
        <v>0</v>
      </c>
      <c r="BD69" s="133">
        <f t="shared" si="46"/>
        <v>0</v>
      </c>
      <c r="BE69" s="133">
        <f t="shared" si="46"/>
        <v>0</v>
      </c>
      <c r="BF69" s="133">
        <f t="shared" si="47"/>
        <v>1</v>
      </c>
      <c r="BG69" s="133">
        <f t="shared" si="48"/>
        <v>1</v>
      </c>
      <c r="BH69" s="133">
        <f t="shared" si="49"/>
        <v>2</v>
      </c>
      <c r="BI69" s="133" t="str">
        <f t="shared" si="50"/>
        <v>1</v>
      </c>
      <c r="BJ69" s="133" t="str">
        <f t="shared" si="50"/>
        <v>1</v>
      </c>
      <c r="BK69" s="133">
        <f t="shared" si="51"/>
        <v>0</v>
      </c>
      <c r="BL69" s="133">
        <f t="shared" si="52"/>
        <v>0</v>
      </c>
      <c r="BM69" s="133" t="str">
        <f t="shared" si="53"/>
        <v>0</v>
      </c>
      <c r="BN69" s="133" t="str">
        <f t="shared" si="54"/>
        <v>0</v>
      </c>
      <c r="BO69" s="133">
        <f t="shared" si="55"/>
        <v>1</v>
      </c>
      <c r="BP69" s="134" t="str">
        <f t="shared" si="56"/>
        <v>1</v>
      </c>
      <c r="BQ69" s="134" t="str">
        <f t="shared" si="57"/>
        <v>1</v>
      </c>
      <c r="BR69" s="134" t="str">
        <f t="shared" si="58"/>
        <v>0</v>
      </c>
      <c r="BT69" s="150">
        <f>IF(E69&gt;'Anketa-2014'!E70,0,IF(E69&lt;'Anketa-2014'!E70,0,IF(E69='Anketa-2014'!E70, 1)))</f>
        <v>1</v>
      </c>
      <c r="BU69" s="150">
        <f>IF(H69&gt;'Anketa-2014'!H70,0,IF(H69&lt;'Anketa-2014'!H70, 0,IF(H69='Anketa-2014'!H70, 1)))</f>
        <v>1</v>
      </c>
      <c r="BV69" s="150">
        <f t="shared" si="59"/>
        <v>3</v>
      </c>
      <c r="BW69" s="150">
        <f t="shared" si="60"/>
        <v>1</v>
      </c>
      <c r="BX69" s="151">
        <f t="shared" ref="BX69:BX74" si="64">BT69*BU69</f>
        <v>1</v>
      </c>
      <c r="BY69" s="151">
        <f>IF('Anketa-2014'!E81=E80,1,IF('Anketa-2014'!E81&lt;E80,0,IF('Anketa-2014'!E81&gt;E80,0)))</f>
        <v>1</v>
      </c>
      <c r="BZ69" s="151">
        <f t="shared" ref="BZ69:BZ74" si="65">IF(BX69=1,3,IF(BX69=0,0))</f>
        <v>3</v>
      </c>
      <c r="CA69" s="151">
        <f t="shared" ref="CA69:CA74" si="66">IF(BX69=0,1,IF(BX69=1,0))</f>
        <v>0</v>
      </c>
      <c r="CC69" s="155">
        <f t="shared" si="61"/>
        <v>6</v>
      </c>
      <c r="CD69" s="148">
        <f t="shared" si="62"/>
        <v>3</v>
      </c>
      <c r="CE69" s="148">
        <f t="shared" si="63"/>
        <v>0</v>
      </c>
      <c r="CF69" s="149"/>
    </row>
    <row r="70" spans="1:84" s="64" customFormat="1" ht="12.75" customHeight="1" x14ac:dyDescent="0.2">
      <c r="A70" s="89">
        <v>52</v>
      </c>
      <c r="B70" s="90" t="str">
        <f t="shared" ref="B70:B74" si="67">INDEX(T,18+INT(MOD(T67-1,7)),lang)</f>
        <v>Душ</v>
      </c>
      <c r="C70" s="91" t="str">
        <f t="shared" ref="C70:C74" si="68">INDEX(T,24+MONTH(T67),lang) &amp; " " &amp; DAY(T67) &amp; ", " &amp; YEAR(T67)</f>
        <v>Июнь 30, 2014</v>
      </c>
      <c r="D70" s="92">
        <f t="shared" ref="D70:D74" si="69">TIME(HOUR(T67),MINUTE(T67),0)</f>
        <v>4.1666666666666664E-2</v>
      </c>
      <c r="E70" s="107" t="str">
        <f>AO31</f>
        <v>1D</v>
      </c>
      <c r="F70" s="54"/>
      <c r="G70" s="55"/>
      <c r="H70" s="111" t="str">
        <f>AO26</f>
        <v>2C</v>
      </c>
      <c r="I70" s="54"/>
      <c r="J70" s="55"/>
      <c r="K70" s="2"/>
      <c r="L70" s="164">
        <f t="shared" si="45"/>
        <v>9</v>
      </c>
      <c r="M70" s="25"/>
      <c r="N70" s="25"/>
      <c r="O70" s="25"/>
      <c r="P70" s="25"/>
      <c r="Q70" s="25"/>
      <c r="R70" s="25"/>
      <c r="S70" s="44"/>
      <c r="T70" s="64">
        <f>DATE(2014,7,1)+TIME(5,0,0)+gmt_delta</f>
        <v>41821.875</v>
      </c>
      <c r="U70" s="70" t="str">
        <f>IF(OR(F73="",G73=""),"",IF(F73&gt;G73,E73,IF(F73&lt;G73,H73,IF(OR(I73="",J73=""),"draw",IF(I73&gt;J73,E73,IF(I73&lt;J73,H73,"draw"))))))</f>
        <v/>
      </c>
      <c r="V70" s="70" t="str">
        <f>IF(OR(U70="",U70="draw"),INDEX(T,92,lang),U70)</f>
        <v>W55</v>
      </c>
      <c r="W70" s="65"/>
      <c r="Z70" s="65"/>
      <c r="AB70" s="65"/>
      <c r="AM70" s="65"/>
      <c r="AN70" s="65"/>
      <c r="AO70" s="66"/>
      <c r="AP70" s="67"/>
      <c r="AQ70" s="68"/>
      <c r="AR70" s="68"/>
      <c r="AS70" s="68"/>
      <c r="AT70" s="68"/>
      <c r="AU70" s="69"/>
      <c r="AV70" s="69"/>
      <c r="AW70" s="69"/>
      <c r="AX70" s="83"/>
      <c r="AY70" s="2"/>
      <c r="AZ70" s="2"/>
      <c r="BA70" s="2"/>
      <c r="BB70" s="133">
        <f>'Anketa-2014'!F71</f>
        <v>0</v>
      </c>
      <c r="BC70" s="133">
        <f>'Anketa-2014'!G71</f>
        <v>0</v>
      </c>
      <c r="BD70" s="133">
        <f t="shared" si="46"/>
        <v>0</v>
      </c>
      <c r="BE70" s="133">
        <f t="shared" si="46"/>
        <v>0</v>
      </c>
      <c r="BF70" s="133">
        <f t="shared" si="47"/>
        <v>1</v>
      </c>
      <c r="BG70" s="133">
        <f t="shared" si="48"/>
        <v>1</v>
      </c>
      <c r="BH70" s="133">
        <f t="shared" si="49"/>
        <v>2</v>
      </c>
      <c r="BI70" s="133" t="str">
        <f t="shared" si="50"/>
        <v>1</v>
      </c>
      <c r="BJ70" s="133" t="str">
        <f t="shared" si="50"/>
        <v>1</v>
      </c>
      <c r="BK70" s="133">
        <f t="shared" si="51"/>
        <v>0</v>
      </c>
      <c r="BL70" s="133">
        <f t="shared" si="52"/>
        <v>0</v>
      </c>
      <c r="BM70" s="133" t="str">
        <f t="shared" si="53"/>
        <v>0</v>
      </c>
      <c r="BN70" s="133" t="str">
        <f t="shared" si="54"/>
        <v>0</v>
      </c>
      <c r="BO70" s="133">
        <f t="shared" si="55"/>
        <v>1</v>
      </c>
      <c r="BP70" s="134" t="str">
        <f t="shared" si="56"/>
        <v>1</v>
      </c>
      <c r="BQ70" s="134" t="str">
        <f t="shared" si="57"/>
        <v>1</v>
      </c>
      <c r="BR70" s="134" t="str">
        <f t="shared" si="58"/>
        <v>0</v>
      </c>
      <c r="BT70" s="150">
        <f>IF(E70&gt;'Anketa-2014'!E71,0,IF(E70&lt;'Anketa-2014'!E71,0,IF(E70='Anketa-2014'!E71, 1)))</f>
        <v>1</v>
      </c>
      <c r="BU70" s="150">
        <f>IF(H70&gt;'Anketa-2014'!H71,0,IF(H70&lt;'Anketa-2014'!H71, 0,IF(H70='Anketa-2014'!H71, 1)))</f>
        <v>1</v>
      </c>
      <c r="BV70" s="150">
        <f t="shared" si="59"/>
        <v>3</v>
      </c>
      <c r="BW70" s="150">
        <f t="shared" si="60"/>
        <v>1</v>
      </c>
      <c r="BX70" s="151">
        <f t="shared" si="64"/>
        <v>1</v>
      </c>
      <c r="BY70" s="151">
        <f>IF('Anketa-2014'!H81=H80,1,IF('Anketa-2014'!H81&lt;H80,0,IF('Anketa-2014'!H81&gt;H80,0)))</f>
        <v>1</v>
      </c>
      <c r="BZ70" s="151">
        <f t="shared" si="65"/>
        <v>3</v>
      </c>
      <c r="CA70" s="151">
        <f t="shared" si="66"/>
        <v>0</v>
      </c>
      <c r="CC70" s="155">
        <f t="shared" si="61"/>
        <v>6</v>
      </c>
      <c r="CD70" s="148">
        <f t="shared" si="62"/>
        <v>3</v>
      </c>
      <c r="CE70" s="148">
        <f t="shared" si="63"/>
        <v>0</v>
      </c>
      <c r="CF70" s="149"/>
    </row>
    <row r="71" spans="1:84" s="64" customFormat="1" ht="12.75" customHeight="1" x14ac:dyDescent="0.2">
      <c r="A71" s="89">
        <v>53</v>
      </c>
      <c r="B71" s="90" t="str">
        <f t="shared" si="67"/>
        <v>Душ</v>
      </c>
      <c r="C71" s="91" t="str">
        <f t="shared" si="68"/>
        <v>Июнь 30, 2014</v>
      </c>
      <c r="D71" s="92">
        <f t="shared" si="69"/>
        <v>0.875</v>
      </c>
      <c r="E71" s="107" t="str">
        <f>AO37</f>
        <v>1E</v>
      </c>
      <c r="F71" s="54"/>
      <c r="G71" s="55"/>
      <c r="H71" s="111" t="str">
        <f>AO44</f>
        <v>2F</v>
      </c>
      <c r="I71" s="54"/>
      <c r="J71" s="55"/>
      <c r="K71" s="2"/>
      <c r="L71" s="164">
        <f t="shared" si="45"/>
        <v>9</v>
      </c>
      <c r="M71" s="25"/>
      <c r="N71" s="292" t="s">
        <v>2820</v>
      </c>
      <c r="O71" s="293"/>
      <c r="P71" s="293"/>
      <c r="Q71" s="293"/>
      <c r="R71" s="294"/>
      <c r="S71" s="44"/>
      <c r="T71" s="64">
        <f>DATE(2014,7,1)+TIME(9,0,0)+gmt_delta</f>
        <v>41822.041666666664</v>
      </c>
      <c r="U71" s="70" t="str">
        <f>IF(OR(F74="",G74=""),"",IF(F74&gt;G74,E74,IF(F74&lt;G74,H74,IF(OR(I74="",J74=""),"draw",IF(I74&gt;J74,E74,IF(I74&lt;J74,H74,"draw"))))))</f>
        <v/>
      </c>
      <c r="V71" s="70" t="str">
        <f>IF(OR(U71="",U71="draw"),INDEX(T,93,lang),U71)</f>
        <v>W56</v>
      </c>
      <c r="W71" s="65"/>
      <c r="Z71" s="65"/>
      <c r="AB71" s="65"/>
      <c r="AM71" s="65"/>
      <c r="AN71" s="65"/>
      <c r="AO71" s="66"/>
      <c r="AP71" s="67"/>
      <c r="AQ71" s="68"/>
      <c r="AR71" s="68"/>
      <c r="AS71" s="68"/>
      <c r="AT71" s="68"/>
      <c r="AU71" s="69"/>
      <c r="AV71" s="69"/>
      <c r="AW71" s="69"/>
      <c r="AX71" s="83"/>
      <c r="AY71" s="2"/>
      <c r="AZ71" s="2"/>
      <c r="BA71" s="2"/>
      <c r="BB71" s="133">
        <f>'Anketa-2014'!F72</f>
        <v>0</v>
      </c>
      <c r="BC71" s="133">
        <f>'Anketa-2014'!G72</f>
        <v>0</v>
      </c>
      <c r="BD71" s="133">
        <f t="shared" si="46"/>
        <v>0</v>
      </c>
      <c r="BE71" s="133">
        <f t="shared" si="46"/>
        <v>0</v>
      </c>
      <c r="BF71" s="133">
        <f t="shared" si="47"/>
        <v>1</v>
      </c>
      <c r="BG71" s="133">
        <f t="shared" si="48"/>
        <v>1</v>
      </c>
      <c r="BH71" s="133">
        <f t="shared" si="49"/>
        <v>2</v>
      </c>
      <c r="BI71" s="133" t="str">
        <f t="shared" si="50"/>
        <v>1</v>
      </c>
      <c r="BJ71" s="133" t="str">
        <f t="shared" si="50"/>
        <v>1</v>
      </c>
      <c r="BK71" s="133">
        <f t="shared" si="51"/>
        <v>0</v>
      </c>
      <c r="BL71" s="133">
        <f t="shared" si="52"/>
        <v>0</v>
      </c>
      <c r="BM71" s="133" t="str">
        <f t="shared" si="53"/>
        <v>0</v>
      </c>
      <c r="BN71" s="133" t="str">
        <f t="shared" si="54"/>
        <v>0</v>
      </c>
      <c r="BO71" s="133">
        <f t="shared" si="55"/>
        <v>1</v>
      </c>
      <c r="BP71" s="134" t="str">
        <f t="shared" si="56"/>
        <v>1</v>
      </c>
      <c r="BQ71" s="134" t="str">
        <f t="shared" si="57"/>
        <v>1</v>
      </c>
      <c r="BR71" s="134" t="str">
        <f t="shared" si="58"/>
        <v>0</v>
      </c>
      <c r="BT71" s="150">
        <f>IF(E71&gt;'Anketa-2014'!E72,0,IF(E71&lt;'Anketa-2014'!E72,0,IF(E71='Anketa-2014'!E72, 1)))</f>
        <v>1</v>
      </c>
      <c r="BU71" s="150">
        <f>IF(H71&gt;'Anketa-2014'!H72,0,IF(H71&lt;'Anketa-2014'!H72, 0,IF(H71='Anketa-2014'!H72, 1)))</f>
        <v>1</v>
      </c>
      <c r="BV71" s="150">
        <f t="shared" si="59"/>
        <v>3</v>
      </c>
      <c r="BW71" s="150">
        <f t="shared" si="60"/>
        <v>1</v>
      </c>
      <c r="BX71" s="151">
        <f t="shared" si="64"/>
        <v>1</v>
      </c>
      <c r="BY71" s="151">
        <f>IF('Anketa-2014'!E80=E79,1,IF('Anketa-2014'!E80&lt;E79,0,IF('Anketa-2014'!E80&gt;E79,0)))</f>
        <v>1</v>
      </c>
      <c r="BZ71" s="151">
        <f t="shared" si="65"/>
        <v>3</v>
      </c>
      <c r="CA71" s="151">
        <f t="shared" si="66"/>
        <v>0</v>
      </c>
      <c r="CC71" s="155">
        <f t="shared" si="61"/>
        <v>6</v>
      </c>
      <c r="CD71" s="148">
        <f t="shared" si="62"/>
        <v>3</v>
      </c>
      <c r="CE71" s="148">
        <f t="shared" si="63"/>
        <v>0</v>
      </c>
      <c r="CF71" s="156"/>
    </row>
    <row r="72" spans="1:84" s="64" customFormat="1" ht="12.75" customHeight="1" x14ac:dyDescent="0.2">
      <c r="A72" s="89">
        <v>54</v>
      </c>
      <c r="B72" s="90" t="str">
        <f t="shared" si="67"/>
        <v>Сеш</v>
      </c>
      <c r="C72" s="91" t="str">
        <f t="shared" si="68"/>
        <v>Июль 1, 2014</v>
      </c>
      <c r="D72" s="92">
        <f t="shared" si="69"/>
        <v>4.1666666666666664E-2</v>
      </c>
      <c r="E72" s="107" t="str">
        <f>AO49</f>
        <v>1G</v>
      </c>
      <c r="F72" s="54"/>
      <c r="G72" s="55"/>
      <c r="H72" s="111" t="str">
        <f>AO56</f>
        <v>2H</v>
      </c>
      <c r="I72" s="54"/>
      <c r="J72" s="55"/>
      <c r="K72" s="2"/>
      <c r="L72" s="164">
        <f t="shared" si="45"/>
        <v>9</v>
      </c>
      <c r="M72" s="25"/>
      <c r="N72" s="295"/>
      <c r="O72" s="296"/>
      <c r="P72" s="296"/>
      <c r="Q72" s="296"/>
      <c r="R72" s="297"/>
      <c r="S72" s="44"/>
      <c r="U72" s="70"/>
      <c r="V72" s="70"/>
      <c r="W72" s="65"/>
      <c r="Z72" s="65"/>
      <c r="AB72" s="65"/>
      <c r="AM72" s="65"/>
      <c r="AN72" s="65"/>
      <c r="AO72" s="66"/>
      <c r="AP72" s="67"/>
      <c r="AQ72" s="68"/>
      <c r="AR72" s="68"/>
      <c r="AS72" s="68"/>
      <c r="AT72" s="68"/>
      <c r="AU72" s="69"/>
      <c r="AV72" s="69"/>
      <c r="AW72" s="69"/>
      <c r="AX72" s="83"/>
      <c r="AY72" s="2"/>
      <c r="AZ72" s="2"/>
      <c r="BA72" s="2"/>
      <c r="BB72" s="133">
        <f>'Anketa-2014'!F73</f>
        <v>0</v>
      </c>
      <c r="BC72" s="133">
        <f>'Anketa-2014'!G73</f>
        <v>0</v>
      </c>
      <c r="BD72" s="133">
        <f t="shared" si="46"/>
        <v>0</v>
      </c>
      <c r="BE72" s="133">
        <f t="shared" si="46"/>
        <v>0</v>
      </c>
      <c r="BF72" s="133">
        <f t="shared" si="47"/>
        <v>1</v>
      </c>
      <c r="BG72" s="133">
        <f t="shared" si="48"/>
        <v>1</v>
      </c>
      <c r="BH72" s="133">
        <f t="shared" si="49"/>
        <v>2</v>
      </c>
      <c r="BI72" s="133" t="str">
        <f t="shared" si="50"/>
        <v>1</v>
      </c>
      <c r="BJ72" s="133" t="str">
        <f t="shared" si="50"/>
        <v>1</v>
      </c>
      <c r="BK72" s="133">
        <f t="shared" si="51"/>
        <v>0</v>
      </c>
      <c r="BL72" s="133">
        <f t="shared" si="52"/>
        <v>0</v>
      </c>
      <c r="BM72" s="133" t="str">
        <f t="shared" si="53"/>
        <v>0</v>
      </c>
      <c r="BN72" s="133" t="str">
        <f t="shared" si="54"/>
        <v>0</v>
      </c>
      <c r="BO72" s="133">
        <f t="shared" si="55"/>
        <v>1</v>
      </c>
      <c r="BP72" s="134" t="str">
        <f t="shared" si="56"/>
        <v>1</v>
      </c>
      <c r="BQ72" s="134" t="str">
        <f t="shared" si="57"/>
        <v>1</v>
      </c>
      <c r="BR72" s="134" t="str">
        <f t="shared" si="58"/>
        <v>0</v>
      </c>
      <c r="BT72" s="150">
        <f>IF(E72&gt;'Anketa-2014'!E73,0,IF(E72&lt;'Anketa-2014'!E73,0,IF(E72='Anketa-2014'!E73, 1)))</f>
        <v>1</v>
      </c>
      <c r="BU72" s="150">
        <f>IF(H72&gt;'Anketa-2014'!H73,0,IF(H72&lt;'Anketa-2014'!H73, 0,IF(H72='Anketa-2014'!H73, 1)))</f>
        <v>1</v>
      </c>
      <c r="BV72" s="150">
        <f t="shared" si="59"/>
        <v>3</v>
      </c>
      <c r="BW72" s="150">
        <f t="shared" si="60"/>
        <v>1</v>
      </c>
      <c r="BX72" s="151">
        <f t="shared" si="64"/>
        <v>1</v>
      </c>
      <c r="BY72" s="151">
        <f>IF('Anketa-2014'!H80=H79,1,IF('Anketa-2014'!H80&lt;H79,0,IF('Anketa-2014'!H80&gt;H79,0)))</f>
        <v>1</v>
      </c>
      <c r="BZ72" s="151">
        <f t="shared" si="65"/>
        <v>3</v>
      </c>
      <c r="CA72" s="151">
        <f t="shared" si="66"/>
        <v>0</v>
      </c>
      <c r="CC72" s="155">
        <f t="shared" si="61"/>
        <v>6</v>
      </c>
      <c r="CD72" s="148">
        <f t="shared" si="62"/>
        <v>3</v>
      </c>
      <c r="CE72" s="148">
        <f t="shared" si="63"/>
        <v>0</v>
      </c>
      <c r="CF72" s="156"/>
    </row>
    <row r="73" spans="1:84" s="64" customFormat="1" ht="12.75" customHeight="1" x14ac:dyDescent="0.2">
      <c r="A73" s="89">
        <v>55</v>
      </c>
      <c r="B73" s="90" t="str">
        <f t="shared" si="67"/>
        <v>Сеш</v>
      </c>
      <c r="C73" s="91" t="str">
        <f t="shared" si="68"/>
        <v>Июль 1, 2014</v>
      </c>
      <c r="D73" s="92">
        <f t="shared" si="69"/>
        <v>0.875</v>
      </c>
      <c r="E73" s="107" t="str">
        <f>AO43</f>
        <v>1F</v>
      </c>
      <c r="F73" s="54"/>
      <c r="G73" s="55"/>
      <c r="H73" s="111" t="str">
        <f>AO38</f>
        <v>2E</v>
      </c>
      <c r="I73" s="54"/>
      <c r="J73" s="55"/>
      <c r="K73" s="2"/>
      <c r="L73" s="164">
        <f t="shared" si="45"/>
        <v>9</v>
      </c>
      <c r="M73" s="25"/>
      <c r="N73" s="298"/>
      <c r="O73" s="299"/>
      <c r="P73" s="299"/>
      <c r="Q73" s="299"/>
      <c r="R73" s="300"/>
      <c r="S73" s="44"/>
      <c r="U73" s="70"/>
      <c r="V73" s="70"/>
      <c r="W73" s="65"/>
      <c r="Z73" s="65"/>
      <c r="AB73" s="65"/>
      <c r="AM73" s="65"/>
      <c r="AN73" s="65"/>
      <c r="AO73" s="66"/>
      <c r="AP73" s="67"/>
      <c r="AQ73" s="68"/>
      <c r="AR73" s="68"/>
      <c r="AS73" s="68"/>
      <c r="AT73" s="68"/>
      <c r="AU73" s="69"/>
      <c r="AV73" s="69"/>
      <c r="AW73" s="69"/>
      <c r="AX73" s="83"/>
      <c r="AY73" s="2"/>
      <c r="AZ73" s="2"/>
      <c r="BA73" s="2"/>
      <c r="BB73" s="133">
        <f>'Anketa-2014'!F74</f>
        <v>0</v>
      </c>
      <c r="BC73" s="133">
        <f>'Anketa-2014'!G74</f>
        <v>0</v>
      </c>
      <c r="BD73" s="133">
        <f t="shared" si="46"/>
        <v>0</v>
      </c>
      <c r="BE73" s="133">
        <f t="shared" si="46"/>
        <v>0</v>
      </c>
      <c r="BF73" s="133">
        <f t="shared" si="47"/>
        <v>1</v>
      </c>
      <c r="BG73" s="133">
        <f t="shared" si="48"/>
        <v>1</v>
      </c>
      <c r="BH73" s="133">
        <f t="shared" si="49"/>
        <v>2</v>
      </c>
      <c r="BI73" s="133" t="str">
        <f t="shared" si="50"/>
        <v>1</v>
      </c>
      <c r="BJ73" s="133" t="str">
        <f t="shared" si="50"/>
        <v>1</v>
      </c>
      <c r="BK73" s="133">
        <f t="shared" si="51"/>
        <v>0</v>
      </c>
      <c r="BL73" s="133">
        <f t="shared" si="52"/>
        <v>0</v>
      </c>
      <c r="BM73" s="133" t="str">
        <f t="shared" si="53"/>
        <v>0</v>
      </c>
      <c r="BN73" s="133" t="str">
        <f t="shared" si="54"/>
        <v>0</v>
      </c>
      <c r="BO73" s="133">
        <f t="shared" si="55"/>
        <v>1</v>
      </c>
      <c r="BP73" s="134" t="str">
        <f t="shared" si="56"/>
        <v>1</v>
      </c>
      <c r="BQ73" s="134" t="str">
        <f t="shared" si="57"/>
        <v>1</v>
      </c>
      <c r="BR73" s="134" t="str">
        <f t="shared" si="58"/>
        <v>0</v>
      </c>
      <c r="BT73" s="150">
        <f>IF(E73&gt;'Anketa-2014'!E74,0,IF(E73&lt;'Anketa-2014'!E74,0,IF(E73='Anketa-2014'!E74, 1)))</f>
        <v>1</v>
      </c>
      <c r="BU73" s="150">
        <f>IF(H73&gt;'Anketa-2014'!H74,0,IF(H73&lt;'Anketa-2014'!H74, 0,IF(H73='Anketa-2014'!H74, 1)))</f>
        <v>1</v>
      </c>
      <c r="BV73" s="150">
        <f t="shared" si="59"/>
        <v>3</v>
      </c>
      <c r="BW73" s="150">
        <f t="shared" si="60"/>
        <v>1</v>
      </c>
      <c r="BX73" s="151">
        <f t="shared" si="64"/>
        <v>1</v>
      </c>
      <c r="BY73" s="151">
        <f>IF('Anketa-2014'!E82=E81,1,IF('Anketa-2014'!E82&lt;E81,0,IF('Anketa-2014'!E82&gt;E81,0)))</f>
        <v>1</v>
      </c>
      <c r="BZ73" s="151">
        <f t="shared" si="65"/>
        <v>3</v>
      </c>
      <c r="CA73" s="151">
        <f t="shared" si="66"/>
        <v>0</v>
      </c>
      <c r="CC73" s="155">
        <f t="shared" si="61"/>
        <v>6</v>
      </c>
      <c r="CD73" s="148">
        <f t="shared" si="62"/>
        <v>3</v>
      </c>
      <c r="CE73" s="148">
        <f t="shared" si="63"/>
        <v>0</v>
      </c>
      <c r="CF73" s="156"/>
    </row>
    <row r="74" spans="1:84" s="64" customFormat="1" ht="12.75" customHeight="1" x14ac:dyDescent="0.2">
      <c r="A74" s="94">
        <v>56</v>
      </c>
      <c r="B74" s="95" t="str">
        <f t="shared" si="67"/>
        <v>Чор</v>
      </c>
      <c r="C74" s="96" t="str">
        <f t="shared" si="68"/>
        <v>Июль 2, 2014</v>
      </c>
      <c r="D74" s="97">
        <f t="shared" si="69"/>
        <v>4.1666666666666664E-2</v>
      </c>
      <c r="E74" s="108" t="str">
        <f>AO55</f>
        <v>1H</v>
      </c>
      <c r="F74" s="56"/>
      <c r="G74" s="57"/>
      <c r="H74" s="113" t="str">
        <f>AO50</f>
        <v>2G</v>
      </c>
      <c r="I74" s="56"/>
      <c r="J74" s="57"/>
      <c r="K74" s="2"/>
      <c r="L74" s="164">
        <f t="shared" si="45"/>
        <v>9</v>
      </c>
      <c r="M74" s="25"/>
      <c r="N74" s="25"/>
      <c r="O74" s="25"/>
      <c r="P74" s="25"/>
      <c r="Q74" s="25"/>
      <c r="R74" s="25"/>
      <c r="S74" s="44"/>
      <c r="U74" s="70"/>
      <c r="V74" s="70"/>
      <c r="W74" s="65"/>
      <c r="Z74" s="65"/>
      <c r="AB74" s="65"/>
      <c r="AM74" s="65"/>
      <c r="AN74" s="65"/>
      <c r="AO74" s="66"/>
      <c r="AP74" s="67"/>
      <c r="AQ74" s="68"/>
      <c r="AR74" s="68"/>
      <c r="AS74" s="68"/>
      <c r="AT74" s="68"/>
      <c r="AU74" s="69"/>
      <c r="AV74" s="69"/>
      <c r="AW74" s="69"/>
      <c r="AX74" s="83"/>
      <c r="AY74" s="2"/>
      <c r="AZ74" s="2"/>
      <c r="BA74" s="2"/>
      <c r="BB74" s="133">
        <f>'Anketa-2014'!F75</f>
        <v>0</v>
      </c>
      <c r="BC74" s="133">
        <f>'Anketa-2014'!G75</f>
        <v>0</v>
      </c>
      <c r="BD74" s="133">
        <f t="shared" si="46"/>
        <v>0</v>
      </c>
      <c r="BE74" s="133">
        <f t="shared" si="46"/>
        <v>0</v>
      </c>
      <c r="BF74" s="133">
        <f t="shared" si="47"/>
        <v>1</v>
      </c>
      <c r="BG74" s="133">
        <f t="shared" si="48"/>
        <v>1</v>
      </c>
      <c r="BH74" s="133">
        <f t="shared" si="49"/>
        <v>2</v>
      </c>
      <c r="BI74" s="133" t="str">
        <f t="shared" si="50"/>
        <v>1</v>
      </c>
      <c r="BJ74" s="133" t="str">
        <f t="shared" si="50"/>
        <v>1</v>
      </c>
      <c r="BK74" s="133">
        <f t="shared" si="51"/>
        <v>0</v>
      </c>
      <c r="BL74" s="133">
        <f t="shared" si="52"/>
        <v>0</v>
      </c>
      <c r="BM74" s="133" t="str">
        <f t="shared" si="53"/>
        <v>0</v>
      </c>
      <c r="BN74" s="133" t="str">
        <f t="shared" si="54"/>
        <v>0</v>
      </c>
      <c r="BO74" s="133">
        <f t="shared" si="55"/>
        <v>1</v>
      </c>
      <c r="BP74" s="134" t="str">
        <f t="shared" si="56"/>
        <v>1</v>
      </c>
      <c r="BQ74" s="134" t="str">
        <f t="shared" si="57"/>
        <v>1</v>
      </c>
      <c r="BR74" s="134" t="str">
        <f t="shared" si="58"/>
        <v>0</v>
      </c>
      <c r="BT74" s="150">
        <f>IF(E74&gt;'Anketa-2014'!E75,0,IF(E74&lt;'Anketa-2014'!E75,0,IF(E74='Anketa-2014'!E75, 1)))</f>
        <v>1</v>
      </c>
      <c r="BU74" s="150">
        <f>IF(H74&gt;'Anketa-2014'!H75,0,IF(H74&lt;'Anketa-2014'!H75, 0,IF(H74='Anketa-2014'!H75, 1)))</f>
        <v>1</v>
      </c>
      <c r="BV74" s="150">
        <f t="shared" si="59"/>
        <v>3</v>
      </c>
      <c r="BW74" s="150">
        <f t="shared" si="60"/>
        <v>1</v>
      </c>
      <c r="BX74" s="151">
        <f t="shared" si="64"/>
        <v>1</v>
      </c>
      <c r="BY74" s="151">
        <f>IF('Anketa-2014'!H82=H81,1,IF('Anketa-2014'!H82&lt;H81,0,IF('Anketa-2014'!H82&gt;H81,0)))</f>
        <v>1</v>
      </c>
      <c r="BZ74" s="151">
        <f t="shared" si="65"/>
        <v>3</v>
      </c>
      <c r="CA74" s="151">
        <f t="shared" si="66"/>
        <v>0</v>
      </c>
      <c r="CC74" s="155">
        <f t="shared" si="61"/>
        <v>6</v>
      </c>
      <c r="CD74" s="148">
        <f t="shared" si="62"/>
        <v>3</v>
      </c>
      <c r="CE74" s="148">
        <f t="shared" si="63"/>
        <v>0</v>
      </c>
      <c r="CF74" s="156"/>
    </row>
    <row r="75" spans="1:84" s="64" customFormat="1" ht="12.75" customHeight="1" thickBot="1" x14ac:dyDescent="0.25">
      <c r="A75" s="1"/>
      <c r="B75" s="1"/>
      <c r="C75" s="1"/>
      <c r="D75" s="3"/>
      <c r="E75" s="4"/>
      <c r="F75" s="5"/>
      <c r="G75" s="5"/>
      <c r="H75" s="6"/>
      <c r="I75" s="4"/>
      <c r="J75" s="4"/>
      <c r="K75" s="2"/>
      <c r="L75" s="25"/>
      <c r="M75" s="25"/>
      <c r="N75" s="25"/>
      <c r="O75" s="25"/>
      <c r="P75" s="25"/>
      <c r="Q75" s="25"/>
      <c r="R75" s="25"/>
      <c r="S75" s="44"/>
      <c r="T75" s="64">
        <f>DATE(2014,7,4)+TIME(9,0,0)+gmt_delta</f>
        <v>41825.041666666664</v>
      </c>
      <c r="U75" s="70" t="str">
        <f>IF(OR(F78="",G78=""),"",IF(F78&gt;G78,E78,IF(F78&lt;G78,H78,IF(OR(I78="",J78=""),"draw",IF(I78&gt;J78,E78,IF(I78&lt;J78,H78,"draw"))))))</f>
        <v/>
      </c>
      <c r="V75" s="70" t="str">
        <f>IF(OR(U75="",U75="draw"),INDEX(T,94,lang),U75)</f>
        <v>W57</v>
      </c>
      <c r="W75" s="65"/>
      <c r="Z75" s="65"/>
      <c r="AB75" s="65"/>
      <c r="AM75" s="65"/>
      <c r="AN75" s="65"/>
      <c r="AO75" s="66"/>
      <c r="AP75" s="67"/>
      <c r="AQ75" s="68"/>
      <c r="AR75" s="68"/>
      <c r="AS75" s="68"/>
      <c r="AT75" s="68"/>
      <c r="AU75" s="69"/>
      <c r="AV75" s="69"/>
      <c r="AW75" s="69"/>
      <c r="AX75" s="83"/>
      <c r="AY75" s="2"/>
      <c r="AZ75" s="2"/>
      <c r="BA75" s="2"/>
      <c r="BB75" s="2"/>
      <c r="BC75" s="2"/>
      <c r="BD75" s="2"/>
      <c r="BE75" s="2"/>
      <c r="BF75" s="2"/>
      <c r="BG75" s="2"/>
      <c r="BH75" s="2"/>
      <c r="BI75" s="2"/>
      <c r="BJ75" s="2"/>
      <c r="BK75" s="2"/>
      <c r="BL75" s="2"/>
      <c r="BM75" s="2"/>
      <c r="BN75" s="2"/>
      <c r="BO75" s="2"/>
      <c r="BP75" s="2"/>
      <c r="BQ75" s="2"/>
      <c r="BR75" s="2"/>
      <c r="CC75" s="155">
        <f t="shared" si="61"/>
        <v>6</v>
      </c>
      <c r="CD75" s="148">
        <f t="shared" si="62"/>
        <v>3</v>
      </c>
      <c r="CE75" s="148">
        <f t="shared" si="63"/>
        <v>0</v>
      </c>
      <c r="CF75" s="156"/>
    </row>
    <row r="76" spans="1:84" s="64" customFormat="1" ht="12.75" customHeight="1" x14ac:dyDescent="0.2">
      <c r="A76" s="233" t="str">
        <f>INDEX(T,5,lang)</f>
        <v>Чорак финал</v>
      </c>
      <c r="B76" s="234"/>
      <c r="C76" s="234"/>
      <c r="D76" s="234"/>
      <c r="E76" s="234"/>
      <c r="F76" s="234"/>
      <c r="G76" s="234"/>
      <c r="H76" s="234"/>
      <c r="I76" s="234"/>
      <c r="J76" s="235"/>
      <c r="K76" s="2"/>
      <c r="L76" s="275" t="s">
        <v>2797</v>
      </c>
      <c r="M76" s="25"/>
      <c r="N76" s="301" t="s">
        <v>2821</v>
      </c>
      <c r="O76" s="302"/>
      <c r="P76" s="302"/>
      <c r="Q76" s="302"/>
      <c r="R76" s="303"/>
      <c r="S76" s="44"/>
      <c r="T76" s="64">
        <f>DATE(2014,7,4)+TIME(5,0,0)+gmt_delta</f>
        <v>41824.875</v>
      </c>
      <c r="U76" s="70" t="str">
        <f>IF(OR(F79="",G79=""),"",IF(F79&gt;G79,E79,IF(F79&lt;G79,H79,IF(OR(I79="",J79=""),"draw",IF(I79&gt;J79,E79,IF(I79&lt;J79,H79,"draw"))))))</f>
        <v/>
      </c>
      <c r="V76" s="70" t="str">
        <f>IF(OR(U76="",U76="draw"),INDEX(T,95,lang),U76)</f>
        <v>W58</v>
      </c>
      <c r="W76" s="65"/>
      <c r="Z76" s="65"/>
      <c r="AB76" s="65"/>
      <c r="AM76" s="65"/>
      <c r="AN76" s="65"/>
      <c r="AO76" s="66"/>
      <c r="AP76" s="67"/>
      <c r="AQ76" s="68"/>
      <c r="AR76" s="68"/>
      <c r="AS76" s="68"/>
      <c r="AT76" s="68"/>
      <c r="AU76" s="69"/>
      <c r="AV76" s="69"/>
      <c r="AW76" s="69"/>
      <c r="AX76" s="83"/>
      <c r="AY76" s="2"/>
      <c r="AZ76" s="2"/>
      <c r="BA76" s="2"/>
      <c r="BB76" s="2"/>
      <c r="BC76" s="2"/>
      <c r="BD76" s="2"/>
      <c r="BE76" s="2"/>
      <c r="BF76" s="2"/>
      <c r="BG76" s="2"/>
      <c r="BH76" s="2"/>
      <c r="BI76" s="2"/>
      <c r="BJ76" s="2"/>
      <c r="BK76" s="2"/>
      <c r="BL76" s="2"/>
      <c r="BM76" s="2"/>
      <c r="BN76" s="2"/>
      <c r="BO76" s="2"/>
      <c r="BP76" s="2"/>
      <c r="BQ76" s="2"/>
      <c r="BR76" s="2"/>
      <c r="CC76" s="153"/>
      <c r="CD76" s="157"/>
      <c r="CE76" s="157"/>
      <c r="CF76" s="156"/>
    </row>
    <row r="77" spans="1:84" s="64" customFormat="1" ht="12.75" customHeight="1" thickBot="1" x14ac:dyDescent="0.25">
      <c r="A77" s="327"/>
      <c r="B77" s="328"/>
      <c r="C77" s="328"/>
      <c r="D77" s="328"/>
      <c r="E77" s="328"/>
      <c r="F77" s="328"/>
      <c r="G77" s="328"/>
      <c r="H77" s="328"/>
      <c r="I77" s="328"/>
      <c r="J77" s="329"/>
      <c r="K77" s="2"/>
      <c r="L77" s="276"/>
      <c r="M77" s="24"/>
      <c r="N77" s="304"/>
      <c r="O77" s="305"/>
      <c r="P77" s="305"/>
      <c r="Q77" s="305"/>
      <c r="R77" s="306"/>
      <c r="S77" s="44"/>
      <c r="T77" s="64">
        <f>DATE(2014,7,5)+TIME(9,0,0)+gmt_delta</f>
        <v>41826.041666666664</v>
      </c>
      <c r="U77" s="70" t="str">
        <f>IF(OR(F80="",G80=""),"",IF(F80&gt;G80,E80,IF(F80&lt;G80,H80,IF(OR(I80="",J80=""),"draw",IF(I80&gt;J80,E80,IF(I80&lt;J80,H80,"draw"))))))</f>
        <v/>
      </c>
      <c r="V77" s="70" t="str">
        <f>IF(OR(U77="",U77="draw"),INDEX(T,96,lang),U77)</f>
        <v>W59</v>
      </c>
      <c r="W77" s="65"/>
      <c r="Z77" s="65"/>
      <c r="AB77" s="65"/>
      <c r="AM77" s="65"/>
      <c r="AN77" s="65"/>
      <c r="AO77" s="66"/>
      <c r="AP77" s="67"/>
      <c r="AQ77" s="68"/>
      <c r="AR77" s="68"/>
      <c r="AS77" s="68"/>
      <c r="AT77" s="68"/>
      <c r="AU77" s="69"/>
      <c r="AV77" s="69"/>
      <c r="AW77" s="69"/>
      <c r="AX77" s="83"/>
      <c r="AY77" s="2"/>
      <c r="AZ77" s="2"/>
      <c r="BA77" s="2"/>
      <c r="BB77" s="2"/>
      <c r="BC77" s="2"/>
      <c r="BD77" s="2"/>
      <c r="BE77" s="2"/>
      <c r="BF77" s="2"/>
      <c r="BG77" s="2"/>
      <c r="BH77" s="2"/>
      <c r="BI77" s="2"/>
      <c r="BJ77" s="2"/>
      <c r="BK77" s="2"/>
      <c r="BL77" s="2"/>
      <c r="BM77" s="2"/>
      <c r="BN77" s="2"/>
      <c r="BO77" s="2"/>
      <c r="BP77" s="2"/>
      <c r="BQ77" s="2"/>
      <c r="BR77" s="2"/>
      <c r="CC77" s="153"/>
      <c r="CD77" s="157"/>
      <c r="CE77" s="157"/>
      <c r="CF77" s="156"/>
    </row>
    <row r="78" spans="1:84" s="64" customFormat="1" ht="12.75" customHeight="1" x14ac:dyDescent="0.2">
      <c r="A78" s="102">
        <v>57</v>
      </c>
      <c r="B78" s="115" t="str">
        <f>INDEX(T,18+INT(MOD(T75-1,7)),lang)</f>
        <v>Шанба</v>
      </c>
      <c r="C78" s="104" t="str">
        <f>INDEX(T,24+MONTH(T75),lang) &amp; " " &amp; DAY(T75) &amp; ", " &amp; YEAR(T75)</f>
        <v>Июль 5, 2014</v>
      </c>
      <c r="D78" s="105">
        <f>TIME(HOUR(T75),MINUTE(T75),0)</f>
        <v>4.1666666666666664E-2</v>
      </c>
      <c r="E78" s="106" t="str">
        <f>V63</f>
        <v>W49</v>
      </c>
      <c r="F78" s="60"/>
      <c r="G78" s="61"/>
      <c r="H78" s="109" t="str">
        <f>V64</f>
        <v>W50</v>
      </c>
      <c r="I78" s="60"/>
      <c r="J78" s="61"/>
      <c r="K78" s="2"/>
      <c r="L78" s="165">
        <f>CC79+CD79+CE79</f>
        <v>11</v>
      </c>
      <c r="M78" s="24"/>
      <c r="N78" s="304"/>
      <c r="O78" s="305"/>
      <c r="P78" s="305"/>
      <c r="Q78" s="305"/>
      <c r="R78" s="306"/>
      <c r="S78" s="44"/>
      <c r="T78" s="64">
        <f>DATE(2014,7,5)+TIME(5,0,0)+gmt_delta</f>
        <v>41825.875</v>
      </c>
      <c r="U78" s="70" t="str">
        <f>IF(OR(F81="",G81=""),"",IF(F81&gt;G81,E81,IF(F81&lt;G81,H81,IF(OR(I81="",J81=""),"draw",IF(I81&gt;J81,E81,IF(I81&lt;J81,H81,"draw"))))))</f>
        <v/>
      </c>
      <c r="V78" s="70" t="str">
        <f>IF(OR(U78="",U78="draw"),INDEX(T,97,lang),U78)</f>
        <v>W60</v>
      </c>
      <c r="W78" s="65"/>
      <c r="Z78" s="65"/>
      <c r="AB78" s="65"/>
      <c r="AM78" s="65"/>
      <c r="AN78" s="65"/>
      <c r="AO78" s="66"/>
      <c r="AP78" s="67"/>
      <c r="AQ78" s="68"/>
      <c r="AR78" s="68"/>
      <c r="AS78" s="68"/>
      <c r="AT78" s="68"/>
      <c r="AU78" s="69"/>
      <c r="AV78" s="69"/>
      <c r="AW78" s="69"/>
      <c r="AX78" s="83"/>
      <c r="AY78" s="2"/>
      <c r="AZ78" s="2"/>
      <c r="BA78" s="2"/>
      <c r="BB78" s="133">
        <f>'Anketa-2014'!F79</f>
        <v>0</v>
      </c>
      <c r="BC78" s="133">
        <f>'Anketa-2014'!G79</f>
        <v>0</v>
      </c>
      <c r="BD78" s="133">
        <f>F78</f>
        <v>0</v>
      </c>
      <c r="BE78" s="133">
        <f>G78</f>
        <v>0</v>
      </c>
      <c r="BF78" s="133">
        <f t="shared" ref="BF78:BF81" si="70">IF(BD78=BE78,1,0)</f>
        <v>1</v>
      </c>
      <c r="BG78" s="133">
        <f t="shared" ref="BG78:BG81" si="71">IF(BB78=BC78,1,)</f>
        <v>1</v>
      </c>
      <c r="BH78" s="133">
        <f t="shared" ref="BH78:BH81" si="72">COUNTIF(BF78:BG78,"1")</f>
        <v>2</v>
      </c>
      <c r="BI78" s="133" t="str">
        <f t="shared" ref="BI78:BJ81" si="73">IF(BD78=BB78,"1","0")</f>
        <v>1</v>
      </c>
      <c r="BJ78" s="133" t="str">
        <f t="shared" si="73"/>
        <v>1</v>
      </c>
      <c r="BK78" s="133">
        <f t="shared" ref="BK78:BK81" si="74">BD78-BE78</f>
        <v>0</v>
      </c>
      <c r="BL78" s="133">
        <f t="shared" ref="BL78:BL81" si="75">BB78-BC78</f>
        <v>0</v>
      </c>
      <c r="BM78" s="133" t="str">
        <f t="shared" ref="BM78:BM81" si="76">IF((BK78*BL78)&gt;=0.1,"1","0")</f>
        <v>0</v>
      </c>
      <c r="BN78" s="133" t="str">
        <f t="shared" ref="BN78:BN81" si="77">IF((BK78*BL78)&gt;=0.1,"1","0")</f>
        <v>0</v>
      </c>
      <c r="BO78" s="133">
        <f t="shared" ref="BO78:BO81" si="78">COUNTIF(BH78,"2")</f>
        <v>1</v>
      </c>
      <c r="BP78" s="134" t="str">
        <f t="shared" ref="BP78:BP81" si="79">IF(BI78+BJ78=2,"1","0")</f>
        <v>1</v>
      </c>
      <c r="BQ78" s="134" t="str">
        <f t="shared" ref="BQ78:BQ81" si="80">IF((BD78-BE78)=(BB78-BC78),"1","0")</f>
        <v>1</v>
      </c>
      <c r="BR78" s="134" t="str">
        <f t="shared" ref="BR78:BR81" si="81">IF((BM78+BN78)=2,"1","0")</f>
        <v>0</v>
      </c>
      <c r="BT78" s="158">
        <f>IF(E78&gt;'Anketa-2014'!E79,0,IF(E78&lt;'Anketa-2014'!E79,0,IF(E78='Anketa-2014'!E79, 1)))</f>
        <v>1</v>
      </c>
      <c r="BU78" s="158">
        <f>IF(H78&gt;'Anketa-2014'!H79,0,IF(H78&lt;'Anketa-2014'!H79, 0,IF(H78='Anketa-2014'!H79, 1)))</f>
        <v>1</v>
      </c>
      <c r="BV78" s="150">
        <f>BO78+BP78+BQ78+BR78</f>
        <v>3</v>
      </c>
      <c r="BW78" s="150">
        <f>IF(BV78=3,1,IF(BV78&lt;3,0))</f>
        <v>1</v>
      </c>
      <c r="BX78" s="151">
        <f>BT78*BU78</f>
        <v>1</v>
      </c>
      <c r="BY78" s="151">
        <f>IF('Anketa-2014'!E86=E85,1,IF('Anketa-2014'!E86&lt;E85,0,IF('Anketa-2014'!E86&gt;E85,0)))</f>
        <v>1</v>
      </c>
      <c r="BZ78" s="151">
        <f>IF(BX78=1,4,IF(BX78=0,0))</f>
        <v>4</v>
      </c>
      <c r="CA78" s="151">
        <f>IF(BX78=0,2,IF(BX78=1,0))</f>
        <v>0</v>
      </c>
      <c r="CC78" s="153"/>
      <c r="CD78" s="153"/>
      <c r="CE78" s="153"/>
      <c r="CF78" s="156"/>
    </row>
    <row r="79" spans="1:84" s="64" customFormat="1" ht="12.75" customHeight="1" x14ac:dyDescent="0.2">
      <c r="A79" s="89">
        <v>58</v>
      </c>
      <c r="B79" s="116" t="str">
        <f>INDEX(T,18+INT(MOD(T76-1,7)),lang)</f>
        <v>Жума</v>
      </c>
      <c r="C79" s="91" t="str">
        <f>INDEX(T,24+MONTH(T76),lang) &amp; " " &amp; DAY(T76) &amp; ", " &amp; YEAR(T76)</f>
        <v>Июль 4, 2014</v>
      </c>
      <c r="D79" s="92">
        <f>TIME(HOUR(T76),MINUTE(T76),0)</f>
        <v>0.875</v>
      </c>
      <c r="E79" s="107" t="str">
        <f>V68</f>
        <v>W53</v>
      </c>
      <c r="F79" s="54"/>
      <c r="G79" s="55"/>
      <c r="H79" s="111" t="str">
        <f>V69</f>
        <v>W54</v>
      </c>
      <c r="I79" s="54"/>
      <c r="J79" s="55"/>
      <c r="K79" s="2"/>
      <c r="L79" s="164">
        <f>CC80+CD80+CE80</f>
        <v>11</v>
      </c>
      <c r="M79" s="24"/>
      <c r="N79" s="304"/>
      <c r="O79" s="305"/>
      <c r="P79" s="305"/>
      <c r="Q79" s="305"/>
      <c r="R79" s="306"/>
      <c r="S79" s="44"/>
      <c r="U79" s="70"/>
      <c r="V79" s="70"/>
      <c r="W79" s="65"/>
      <c r="Z79" s="65"/>
      <c r="AB79" s="65"/>
      <c r="AM79" s="65"/>
      <c r="AN79" s="65"/>
      <c r="AO79" s="66"/>
      <c r="AP79" s="67"/>
      <c r="AQ79" s="68"/>
      <c r="AR79" s="68"/>
      <c r="AS79" s="68"/>
      <c r="AT79" s="68"/>
      <c r="AU79" s="69"/>
      <c r="AV79" s="69"/>
      <c r="AW79" s="69"/>
      <c r="AX79" s="83"/>
      <c r="AY79" s="2"/>
      <c r="AZ79" s="2"/>
      <c r="BA79" s="2"/>
      <c r="BB79" s="133">
        <f>'Anketa-2014'!F80</f>
        <v>0</v>
      </c>
      <c r="BC79" s="133">
        <f>'Anketa-2014'!G80</f>
        <v>0</v>
      </c>
      <c r="BD79" s="133">
        <f t="shared" ref="BD79:BE81" si="82">F79</f>
        <v>0</v>
      </c>
      <c r="BE79" s="133">
        <f t="shared" si="82"/>
        <v>0</v>
      </c>
      <c r="BF79" s="133">
        <f t="shared" si="70"/>
        <v>1</v>
      </c>
      <c r="BG79" s="133">
        <f t="shared" si="71"/>
        <v>1</v>
      </c>
      <c r="BH79" s="133">
        <f t="shared" si="72"/>
        <v>2</v>
      </c>
      <c r="BI79" s="133" t="str">
        <f t="shared" si="73"/>
        <v>1</v>
      </c>
      <c r="BJ79" s="133" t="str">
        <f t="shared" si="73"/>
        <v>1</v>
      </c>
      <c r="BK79" s="133">
        <f t="shared" si="74"/>
        <v>0</v>
      </c>
      <c r="BL79" s="133">
        <f t="shared" si="75"/>
        <v>0</v>
      </c>
      <c r="BM79" s="133" t="str">
        <f t="shared" si="76"/>
        <v>0</v>
      </c>
      <c r="BN79" s="133" t="str">
        <f t="shared" si="77"/>
        <v>0</v>
      </c>
      <c r="BO79" s="133">
        <f t="shared" si="78"/>
        <v>1</v>
      </c>
      <c r="BP79" s="134" t="str">
        <f t="shared" si="79"/>
        <v>1</v>
      </c>
      <c r="BQ79" s="134" t="str">
        <f t="shared" si="80"/>
        <v>1</v>
      </c>
      <c r="BR79" s="134" t="str">
        <f t="shared" si="81"/>
        <v>0</v>
      </c>
      <c r="BT79" s="158">
        <f>IF(E79&gt;'Anketa-2014'!E80,0,IF(E79&lt;'Anketa-2014'!E80,0,IF(E79='Anketa-2014'!E80, 1)))</f>
        <v>1</v>
      </c>
      <c r="BU79" s="158">
        <f>IF(H79&gt;'Anketa-2014'!H80,0,IF(H79&lt;'Anketa-2014'!H80, 0,IF(H79='Anketa-2014'!H80, 1)))</f>
        <v>1</v>
      </c>
      <c r="BV79" s="150">
        <f t="shared" ref="BV79:BV81" si="83">BO79+BP79+BQ79+BR79</f>
        <v>3</v>
      </c>
      <c r="BW79" s="150">
        <f t="shared" ref="BW79:BW81" si="84">IF(BV79=3,1,IF(BV79&lt;3,0))</f>
        <v>1</v>
      </c>
      <c r="BX79" s="151">
        <f t="shared" ref="BX79:BX81" si="85">BT79*BU79</f>
        <v>1</v>
      </c>
      <c r="BY79" s="151">
        <f>IF('Anketa-2014'!H86=H85,1,IF('Anketa-2014'!H86&lt;H85,0,IF('Anketa-2014'!H86&gt;H85,0)))</f>
        <v>1</v>
      </c>
      <c r="BZ79" s="151">
        <f>IF(BX79=1,4,IF(BX79=0,0))</f>
        <v>4</v>
      </c>
      <c r="CA79" s="151">
        <f>IF(BX79=0,2,IF(BX79=1,0))</f>
        <v>0</v>
      </c>
      <c r="CC79" s="155">
        <f>(BT78*BU78*BW78)*7</f>
        <v>7</v>
      </c>
      <c r="CD79" s="148">
        <f>BY78*BZ78</f>
        <v>4</v>
      </c>
      <c r="CE79" s="148">
        <f>BY78*CA78</f>
        <v>0</v>
      </c>
      <c r="CF79" s="156"/>
    </row>
    <row r="80" spans="1:84" s="64" customFormat="1" ht="12.75" customHeight="1" x14ac:dyDescent="0.2">
      <c r="A80" s="89">
        <v>59</v>
      </c>
      <c r="B80" s="116" t="str">
        <f>INDEX(T,18+INT(MOD(T77-1,7)),lang)</f>
        <v>Якш</v>
      </c>
      <c r="C80" s="91" t="str">
        <f>INDEX(T,24+MONTH(T77),lang) &amp; " " &amp; DAY(T77) &amp; ", " &amp; YEAR(T77)</f>
        <v>Июль 6, 2014</v>
      </c>
      <c r="D80" s="92">
        <f>TIME(HOUR(T77),MINUTE(T77),0)</f>
        <v>4.1666666666666664E-2</v>
      </c>
      <c r="E80" s="107" t="str">
        <f>V65</f>
        <v>W51</v>
      </c>
      <c r="F80" s="54"/>
      <c r="G80" s="55"/>
      <c r="H80" s="111" t="str">
        <f>V67</f>
        <v>W52</v>
      </c>
      <c r="I80" s="54"/>
      <c r="J80" s="55"/>
      <c r="K80" s="2"/>
      <c r="L80" s="164">
        <f>CC81+CD81+CE81</f>
        <v>11</v>
      </c>
      <c r="M80" s="24"/>
      <c r="N80" s="304"/>
      <c r="O80" s="305"/>
      <c r="P80" s="305"/>
      <c r="Q80" s="305"/>
      <c r="R80" s="306"/>
      <c r="S80" s="44"/>
      <c r="U80" s="70"/>
      <c r="V80" s="70"/>
      <c r="W80" s="65"/>
      <c r="Z80" s="65"/>
      <c r="AB80" s="65"/>
      <c r="AM80" s="65"/>
      <c r="AN80" s="65"/>
      <c r="AO80" s="66"/>
      <c r="AP80" s="67"/>
      <c r="AQ80" s="68"/>
      <c r="AR80" s="68"/>
      <c r="AS80" s="68"/>
      <c r="AT80" s="68"/>
      <c r="AU80" s="69"/>
      <c r="AV80" s="69"/>
      <c r="AW80" s="69"/>
      <c r="AX80" s="83"/>
      <c r="AY80" s="2"/>
      <c r="AZ80" s="2"/>
      <c r="BA80" s="2"/>
      <c r="BB80" s="133">
        <f>'Anketa-2014'!F81</f>
        <v>0</v>
      </c>
      <c r="BC80" s="133">
        <f>'Anketa-2014'!G81</f>
        <v>0</v>
      </c>
      <c r="BD80" s="133">
        <f t="shared" si="82"/>
        <v>0</v>
      </c>
      <c r="BE80" s="133">
        <f t="shared" si="82"/>
        <v>0</v>
      </c>
      <c r="BF80" s="133">
        <f t="shared" si="70"/>
        <v>1</v>
      </c>
      <c r="BG80" s="133">
        <f t="shared" si="71"/>
        <v>1</v>
      </c>
      <c r="BH80" s="133">
        <f t="shared" si="72"/>
        <v>2</v>
      </c>
      <c r="BI80" s="133" t="str">
        <f t="shared" si="73"/>
        <v>1</v>
      </c>
      <c r="BJ80" s="133" t="str">
        <f t="shared" si="73"/>
        <v>1</v>
      </c>
      <c r="BK80" s="133">
        <f t="shared" si="74"/>
        <v>0</v>
      </c>
      <c r="BL80" s="133">
        <f t="shared" si="75"/>
        <v>0</v>
      </c>
      <c r="BM80" s="133" t="str">
        <f t="shared" si="76"/>
        <v>0</v>
      </c>
      <c r="BN80" s="133" t="str">
        <f t="shared" si="77"/>
        <v>0</v>
      </c>
      <c r="BO80" s="133">
        <f t="shared" si="78"/>
        <v>1</v>
      </c>
      <c r="BP80" s="134" t="str">
        <f t="shared" si="79"/>
        <v>1</v>
      </c>
      <c r="BQ80" s="134" t="str">
        <f t="shared" si="80"/>
        <v>1</v>
      </c>
      <c r="BR80" s="134" t="str">
        <f t="shared" si="81"/>
        <v>0</v>
      </c>
      <c r="BT80" s="158">
        <f>IF(E80&gt;'Anketa-2014'!E81,0,IF(E80&lt;'Anketa-2014'!E81,0,IF(E80='Anketa-2014'!E81, 1)))</f>
        <v>1</v>
      </c>
      <c r="BU80" s="158">
        <f>IF(H80&gt;'Anketa-2014'!H81,0,IF(H80&lt;'Anketa-2014'!H81, 0,IF(H80='Anketa-2014'!H81, 1)))</f>
        <v>1</v>
      </c>
      <c r="BV80" s="150">
        <f t="shared" si="83"/>
        <v>3</v>
      </c>
      <c r="BW80" s="150">
        <f t="shared" si="84"/>
        <v>1</v>
      </c>
      <c r="BX80" s="151">
        <f t="shared" si="85"/>
        <v>1</v>
      </c>
      <c r="BY80" s="151">
        <f>IF('Anketa-2014'!E87=E86,1,IF('Anketa-2014'!E87&lt;E86,0,IF('Anketa-2014'!E87&gt;E86,0)))</f>
        <v>1</v>
      </c>
      <c r="BZ80" s="151">
        <f>IF(BX80=1,4,IF(BX80=0,0))</f>
        <v>4</v>
      </c>
      <c r="CA80" s="151">
        <f>IF(BX80=0,2,IF(BX80=1,0))</f>
        <v>0</v>
      </c>
      <c r="CC80" s="155">
        <f>(BT79*BU79*BW79)*7</f>
        <v>7</v>
      </c>
      <c r="CD80" s="148">
        <f>BY79*BZ79</f>
        <v>4</v>
      </c>
      <c r="CE80" s="148">
        <f>BY79*CA79</f>
        <v>0</v>
      </c>
      <c r="CF80" s="156"/>
    </row>
    <row r="81" spans="1:84" s="64" customFormat="1" ht="12.75" customHeight="1" x14ac:dyDescent="0.2">
      <c r="A81" s="94">
        <v>60</v>
      </c>
      <c r="B81" s="117" t="str">
        <f>INDEX(T,18+INT(MOD(T78-1,7)),lang)</f>
        <v>Шанба</v>
      </c>
      <c r="C81" s="96" t="str">
        <f>INDEX(T,24+MONTH(T78),lang) &amp; " " &amp; DAY(T78) &amp; ", " &amp; YEAR(T78)</f>
        <v>Июль 5, 2014</v>
      </c>
      <c r="D81" s="97">
        <f>TIME(HOUR(T78),MINUTE(T78),0)</f>
        <v>0.875</v>
      </c>
      <c r="E81" s="108" t="str">
        <f>V70</f>
        <v>W55</v>
      </c>
      <c r="F81" s="56"/>
      <c r="G81" s="57"/>
      <c r="H81" s="113" t="str">
        <f>V71</f>
        <v>W56</v>
      </c>
      <c r="I81" s="56"/>
      <c r="J81" s="57"/>
      <c r="K81" s="2"/>
      <c r="L81" s="164">
        <f>CC82+CD82+CE82</f>
        <v>11</v>
      </c>
      <c r="M81" s="25"/>
      <c r="N81" s="304"/>
      <c r="O81" s="305"/>
      <c r="P81" s="305"/>
      <c r="Q81" s="305"/>
      <c r="R81" s="306"/>
      <c r="S81" s="44"/>
      <c r="U81" s="70"/>
      <c r="V81" s="70"/>
      <c r="W81" s="65"/>
      <c r="Z81" s="65"/>
      <c r="AB81" s="65"/>
      <c r="AM81" s="65"/>
      <c r="AN81" s="65"/>
      <c r="AO81" s="66"/>
      <c r="AP81" s="67"/>
      <c r="AQ81" s="68"/>
      <c r="AR81" s="68"/>
      <c r="AS81" s="68"/>
      <c r="AT81" s="68"/>
      <c r="AU81" s="69"/>
      <c r="AV81" s="69"/>
      <c r="AW81" s="69"/>
      <c r="AX81" s="83"/>
      <c r="AY81" s="2"/>
      <c r="AZ81" s="2"/>
      <c r="BA81" s="2"/>
      <c r="BB81" s="133">
        <f>'Anketa-2014'!F82</f>
        <v>0</v>
      </c>
      <c r="BC81" s="133">
        <f>'Anketa-2014'!G82</f>
        <v>0</v>
      </c>
      <c r="BD81" s="133">
        <f t="shared" si="82"/>
        <v>0</v>
      </c>
      <c r="BE81" s="133">
        <f t="shared" si="82"/>
        <v>0</v>
      </c>
      <c r="BF81" s="133">
        <f t="shared" si="70"/>
        <v>1</v>
      </c>
      <c r="BG81" s="133">
        <f t="shared" si="71"/>
        <v>1</v>
      </c>
      <c r="BH81" s="133">
        <f t="shared" si="72"/>
        <v>2</v>
      </c>
      <c r="BI81" s="133" t="str">
        <f t="shared" si="73"/>
        <v>1</v>
      </c>
      <c r="BJ81" s="133" t="str">
        <f t="shared" si="73"/>
        <v>1</v>
      </c>
      <c r="BK81" s="133">
        <f t="shared" si="74"/>
        <v>0</v>
      </c>
      <c r="BL81" s="133">
        <f t="shared" si="75"/>
        <v>0</v>
      </c>
      <c r="BM81" s="133" t="str">
        <f t="shared" si="76"/>
        <v>0</v>
      </c>
      <c r="BN81" s="133" t="str">
        <f t="shared" si="77"/>
        <v>0</v>
      </c>
      <c r="BO81" s="133">
        <f t="shared" si="78"/>
        <v>1</v>
      </c>
      <c r="BP81" s="134" t="str">
        <f t="shared" si="79"/>
        <v>1</v>
      </c>
      <c r="BQ81" s="134" t="str">
        <f t="shared" si="80"/>
        <v>1</v>
      </c>
      <c r="BR81" s="134" t="str">
        <f t="shared" si="81"/>
        <v>0</v>
      </c>
      <c r="BT81" s="158">
        <f>IF(E81&gt;'Anketa-2014'!E82,0,IF(E81&lt;'Anketa-2014'!E82,0,IF(E81='Anketa-2014'!E82, 1)))</f>
        <v>1</v>
      </c>
      <c r="BU81" s="158">
        <f>IF(H81&gt;'Anketa-2014'!H82,0,IF(H81&lt;'Anketa-2014'!H82, 0,IF(H81='Anketa-2014'!H82, 1)))</f>
        <v>1</v>
      </c>
      <c r="BV81" s="150">
        <f t="shared" si="83"/>
        <v>3</v>
      </c>
      <c r="BW81" s="150">
        <f t="shared" si="84"/>
        <v>1</v>
      </c>
      <c r="BX81" s="151">
        <f t="shared" si="85"/>
        <v>1</v>
      </c>
      <c r="BY81" s="151">
        <f>IF('Anketa-2014'!H87=H86,1,IF('Anketa-2014'!H87&lt;H86,0,IF('Anketa-2014'!H87&gt;H86,0)))</f>
        <v>1</v>
      </c>
      <c r="BZ81" s="151">
        <f>IF(BX81=1,4,IF(BX81=0,0))</f>
        <v>4</v>
      </c>
      <c r="CA81" s="151">
        <f>IF(BX81=0,2,IF(BX81=1,0))</f>
        <v>0</v>
      </c>
      <c r="CC81" s="155">
        <f>(BT80*BU80*BW80)*7</f>
        <v>7</v>
      </c>
      <c r="CD81" s="148">
        <f>BY80*BZ80</f>
        <v>4</v>
      </c>
      <c r="CE81" s="148">
        <f>BY80*CA80</f>
        <v>0</v>
      </c>
      <c r="CF81" s="156"/>
    </row>
    <row r="82" spans="1:84" s="64" customFormat="1" ht="12.75" customHeight="1" thickBot="1" x14ac:dyDescent="0.25">
      <c r="A82" s="1"/>
      <c r="B82" s="1"/>
      <c r="C82" s="1"/>
      <c r="D82" s="3"/>
      <c r="E82" s="4"/>
      <c r="F82" s="5"/>
      <c r="G82" s="5"/>
      <c r="H82" s="6"/>
      <c r="I82" s="4"/>
      <c r="J82" s="4"/>
      <c r="K82" s="2"/>
      <c r="L82" s="25"/>
      <c r="M82" s="25"/>
      <c r="N82" s="304"/>
      <c r="O82" s="305"/>
      <c r="P82" s="305"/>
      <c r="Q82" s="305"/>
      <c r="R82" s="306"/>
      <c r="S82" s="44"/>
      <c r="T82" s="64">
        <f>DATE(2014,7,8)+TIME(9,0,0)+gmt_delta</f>
        <v>41829.041666666664</v>
      </c>
      <c r="U82" s="70" t="str">
        <f>IF(OR(F85="",G85=""),"",IF(F85&gt;G85,E85,IF(F85&lt;G85,H85,IF(OR(I85="",J85=""),"draw",IF(I85&gt;J85,E85,IF(I85&lt;J85,H85,"draw"))))))</f>
        <v/>
      </c>
      <c r="V82" s="70" t="str">
        <f>IF(OR(U82="",U82="draw"),INDEX(T,98,lang),U82)</f>
        <v>W61</v>
      </c>
      <c r="W82" s="70" t="str">
        <f>IF(OR(F85="",G85=""),"",IF(F85&lt;G85,E85,IF(F85&gt;G85,H85,IF(OR(I85="",J85=""),"draw",IF(I85&lt;J85,E85,IF(I85&gt;J85,H85,"draw"))))))</f>
        <v/>
      </c>
      <c r="Z82" s="70" t="str">
        <f>IF(OR(W82="",W82="draw"),INDEX(T,100,lang),W82)</f>
        <v>L61</v>
      </c>
      <c r="AB82" s="65"/>
      <c r="AM82" s="65"/>
      <c r="AN82" s="65"/>
      <c r="AO82" s="66"/>
      <c r="AP82" s="67"/>
      <c r="AQ82" s="68"/>
      <c r="AR82" s="68"/>
      <c r="AS82" s="68"/>
      <c r="AT82" s="68"/>
      <c r="AU82" s="69"/>
      <c r="AV82" s="69"/>
      <c r="AW82" s="69"/>
      <c r="AX82" s="83"/>
      <c r="AY82" s="2"/>
      <c r="AZ82" s="2"/>
      <c r="BA82" s="2"/>
      <c r="BB82" s="2"/>
      <c r="BC82" s="2"/>
      <c r="BD82" s="2"/>
      <c r="BE82" s="2"/>
      <c r="BF82" s="2"/>
      <c r="BG82" s="2"/>
      <c r="BH82" s="2"/>
      <c r="BI82" s="2"/>
      <c r="BJ82" s="2"/>
      <c r="BK82" s="2"/>
      <c r="BL82" s="2"/>
      <c r="BM82" s="2"/>
      <c r="BN82" s="2"/>
      <c r="BO82" s="2"/>
      <c r="BP82" s="2"/>
      <c r="BQ82" s="2"/>
      <c r="BR82" s="2"/>
      <c r="CC82" s="155">
        <f>(BT81*BU81*BW81)*7</f>
        <v>7</v>
      </c>
      <c r="CD82" s="148">
        <f>BY81*BZ81</f>
        <v>4</v>
      </c>
      <c r="CE82" s="148">
        <f>BY81*CA81</f>
        <v>0</v>
      </c>
      <c r="CF82" s="156"/>
    </row>
    <row r="83" spans="1:84" s="64" customFormat="1" ht="12.75" customHeight="1" thickBot="1" x14ac:dyDescent="0.25">
      <c r="A83" s="233" t="str">
        <f>INDEX(T,6,lang)</f>
        <v>Ярим финал</v>
      </c>
      <c r="B83" s="234"/>
      <c r="C83" s="234"/>
      <c r="D83" s="234"/>
      <c r="E83" s="234"/>
      <c r="F83" s="234"/>
      <c r="G83" s="234"/>
      <c r="H83" s="234"/>
      <c r="I83" s="234"/>
      <c r="J83" s="235"/>
      <c r="K83" s="2"/>
      <c r="L83" s="275" t="s">
        <v>2797</v>
      </c>
      <c r="M83" s="25"/>
      <c r="N83" s="307"/>
      <c r="O83" s="308"/>
      <c r="P83" s="308"/>
      <c r="Q83" s="308"/>
      <c r="R83" s="309"/>
      <c r="S83" s="44"/>
      <c r="T83" s="64">
        <f>DATE(2014,7,9)+TIME(9,0,0)+gmt_delta</f>
        <v>41830.041666666664</v>
      </c>
      <c r="U83" s="70" t="str">
        <f>IF(OR(F86="",G86=""),"",IF(F86&gt;G86,E86,IF(F86&lt;G86,H86,IF(OR(I86="",J86=""),"draw",IF(I86&gt;J86,E86,IF(I86&lt;J86,H86,"draw"))))))</f>
        <v/>
      </c>
      <c r="V83" s="70" t="str">
        <f>IF(OR(U83="",U83="draw"),INDEX(T,99,lang),U83)</f>
        <v>W62</v>
      </c>
      <c r="W83" s="70" t="str">
        <f>IF(OR(F86="",G86=""),"",IF(F86&lt;G86,E86,IF(F86&gt;G86,H86,IF(OR(I86="",J86=""),"draw",IF(I86&lt;J86,E86,IF(I86&gt;J86,H86,"draw"))))))</f>
        <v/>
      </c>
      <c r="Z83" s="70" t="str">
        <f>IF(OR(W83="",W83="draw"),INDEX(T,101,lang),W83)</f>
        <v>L62</v>
      </c>
      <c r="AB83" s="65"/>
      <c r="AM83" s="65"/>
      <c r="AN83" s="65"/>
      <c r="AO83" s="66"/>
      <c r="AP83" s="67"/>
      <c r="AQ83" s="68"/>
      <c r="AR83" s="68"/>
      <c r="AS83" s="68"/>
      <c r="AT83" s="68"/>
      <c r="AU83" s="69"/>
      <c r="AV83" s="69"/>
      <c r="AW83" s="69"/>
      <c r="AX83" s="83"/>
      <c r="AY83" s="2"/>
      <c r="AZ83" s="2"/>
      <c r="BA83" s="2"/>
      <c r="BB83" s="2"/>
      <c r="BC83" s="2"/>
      <c r="BD83" s="2"/>
      <c r="BE83" s="2"/>
      <c r="BF83" s="2"/>
      <c r="BG83" s="2"/>
      <c r="BH83" s="2"/>
      <c r="BI83" s="2"/>
      <c r="BJ83" s="2"/>
      <c r="BK83" s="2"/>
      <c r="BL83" s="2"/>
      <c r="BM83" s="2"/>
      <c r="BN83" s="2"/>
      <c r="BO83" s="2"/>
      <c r="BP83" s="2"/>
      <c r="BQ83" s="2"/>
      <c r="BR83" s="2"/>
      <c r="CC83" s="153"/>
      <c r="CD83" s="157"/>
      <c r="CE83" s="157"/>
      <c r="CF83" s="156"/>
    </row>
    <row r="84" spans="1:84" s="64" customFormat="1" ht="12.75" customHeight="1" thickBot="1" x14ac:dyDescent="0.25">
      <c r="A84" s="327"/>
      <c r="B84" s="328"/>
      <c r="C84" s="328"/>
      <c r="D84" s="328"/>
      <c r="E84" s="328"/>
      <c r="F84" s="328"/>
      <c r="G84" s="328"/>
      <c r="H84" s="328"/>
      <c r="I84" s="328"/>
      <c r="J84" s="329"/>
      <c r="K84" s="2"/>
      <c r="L84" s="276"/>
      <c r="M84" s="25"/>
      <c r="N84" s="25"/>
      <c r="O84" s="25"/>
      <c r="P84" s="25"/>
      <c r="Q84" s="25"/>
      <c r="R84" s="25"/>
      <c r="S84" s="44"/>
      <c r="U84" s="70"/>
      <c r="V84" s="70"/>
      <c r="W84" s="65"/>
      <c r="Z84" s="65"/>
      <c r="AB84" s="65"/>
      <c r="AM84" s="65"/>
      <c r="AN84" s="65"/>
      <c r="AO84" s="66"/>
      <c r="AP84" s="67"/>
      <c r="AQ84" s="68"/>
      <c r="AR84" s="68"/>
      <c r="AS84" s="68"/>
      <c r="AT84" s="68"/>
      <c r="AU84" s="69"/>
      <c r="AV84" s="69"/>
      <c r="AW84" s="69"/>
      <c r="AX84" s="83"/>
      <c r="AY84" s="2"/>
      <c r="AZ84" s="2"/>
      <c r="BA84" s="2"/>
      <c r="BB84" s="2"/>
      <c r="BC84" s="2"/>
      <c r="BD84" s="2"/>
      <c r="BE84" s="2"/>
      <c r="BF84" s="2"/>
      <c r="BG84" s="2"/>
      <c r="BH84" s="2"/>
      <c r="BI84" s="2"/>
      <c r="BJ84" s="2"/>
      <c r="BK84" s="2"/>
      <c r="BL84" s="2"/>
      <c r="BM84" s="2"/>
      <c r="BN84" s="2"/>
      <c r="BO84" s="2"/>
      <c r="BP84" s="2"/>
      <c r="BQ84" s="2"/>
      <c r="BR84" s="2"/>
      <c r="CC84" s="153"/>
      <c r="CD84" s="157"/>
      <c r="CE84" s="157"/>
      <c r="CF84" s="156"/>
    </row>
    <row r="85" spans="1:84" s="64" customFormat="1" ht="12.75" customHeight="1" x14ac:dyDescent="0.2">
      <c r="A85" s="102">
        <v>61</v>
      </c>
      <c r="B85" s="115" t="str">
        <f>INDEX(T,18+INT(MOD(T82-1,7)),lang)</f>
        <v>Чор</v>
      </c>
      <c r="C85" s="104" t="str">
        <f>INDEX(T,24+MONTH(T82),lang) &amp; " " &amp; DAY(T82) &amp; ", " &amp; YEAR(T82)</f>
        <v>Июль 9, 2014</v>
      </c>
      <c r="D85" s="105">
        <f>TIME(HOUR(T82),MINUTE(T82),0)</f>
        <v>4.1666666666666664E-2</v>
      </c>
      <c r="E85" s="106" t="str">
        <f>V75</f>
        <v>W57</v>
      </c>
      <c r="F85" s="60"/>
      <c r="G85" s="61"/>
      <c r="H85" s="109" t="str">
        <f>V76</f>
        <v>W58</v>
      </c>
      <c r="I85" s="60"/>
      <c r="J85" s="61"/>
      <c r="K85" s="2"/>
      <c r="L85" s="164">
        <f>CC86+CD86+CE86</f>
        <v>13</v>
      </c>
      <c r="M85" s="25"/>
      <c r="N85" s="25"/>
      <c r="O85" s="25"/>
      <c r="P85" s="25"/>
      <c r="Q85" s="25"/>
      <c r="R85" s="25"/>
      <c r="S85" s="44"/>
      <c r="U85" s="70"/>
      <c r="V85" s="70"/>
      <c r="W85" s="65"/>
      <c r="Z85" s="65"/>
      <c r="AB85" s="65"/>
      <c r="AM85" s="65"/>
      <c r="AN85" s="65"/>
      <c r="AO85" s="66"/>
      <c r="AP85" s="67"/>
      <c r="AQ85" s="68"/>
      <c r="AR85" s="68"/>
      <c r="AS85" s="68"/>
      <c r="AT85" s="68"/>
      <c r="AU85" s="69"/>
      <c r="AV85" s="69"/>
      <c r="AW85" s="69"/>
      <c r="AX85" s="83"/>
      <c r="AY85" s="2"/>
      <c r="AZ85" s="2"/>
      <c r="BA85" s="2"/>
      <c r="BB85" s="133">
        <f>'Anketa-2014'!F86</f>
        <v>0</v>
      </c>
      <c r="BC85" s="133">
        <f>'Anketa-2014'!G86</f>
        <v>0</v>
      </c>
      <c r="BD85" s="133">
        <f>F85</f>
        <v>0</v>
      </c>
      <c r="BE85" s="133">
        <f>G85</f>
        <v>0</v>
      </c>
      <c r="BF85" s="133">
        <f t="shared" ref="BF85:BF86" si="86">IF(BD85=BE85,1,0)</f>
        <v>1</v>
      </c>
      <c r="BG85" s="133">
        <f t="shared" ref="BG85:BG86" si="87">IF(BB85=BC85,1,)</f>
        <v>1</v>
      </c>
      <c r="BH85" s="133">
        <f t="shared" ref="BH85:BH86" si="88">COUNTIF(BF85:BG85,"1")</f>
        <v>2</v>
      </c>
      <c r="BI85" s="133" t="str">
        <f t="shared" ref="BI85:BJ86" si="89">IF(BD85=BB85,"1","0")</f>
        <v>1</v>
      </c>
      <c r="BJ85" s="133" t="str">
        <f t="shared" si="89"/>
        <v>1</v>
      </c>
      <c r="BK85" s="133">
        <f t="shared" ref="BK85:BK86" si="90">BD85-BE85</f>
        <v>0</v>
      </c>
      <c r="BL85" s="133">
        <f t="shared" ref="BL85:BL86" si="91">BB85-BC85</f>
        <v>0</v>
      </c>
      <c r="BM85" s="133" t="str">
        <f t="shared" ref="BM85:BM86" si="92">IF((BK85*BL85)&gt;=0.1,"1","0")</f>
        <v>0</v>
      </c>
      <c r="BN85" s="133" t="str">
        <f t="shared" ref="BN85:BN86" si="93">IF((BK85*BL85)&gt;=0.1,"1","0")</f>
        <v>0</v>
      </c>
      <c r="BO85" s="133">
        <f t="shared" ref="BO85:BO86" si="94">COUNTIF(BH85,"2")</f>
        <v>1</v>
      </c>
      <c r="BP85" s="134" t="str">
        <f t="shared" ref="BP85:BP86" si="95">IF(BI85+BJ85=2,"1","0")</f>
        <v>1</v>
      </c>
      <c r="BQ85" s="134" t="str">
        <f t="shared" ref="BQ85:BQ86" si="96">IF((BD85-BE85)=(BB85-BC85),"1","0")</f>
        <v>1</v>
      </c>
      <c r="BR85" s="134" t="str">
        <f t="shared" ref="BR85:BR86" si="97">IF((BM85+BN85)=2,"1","0")</f>
        <v>0</v>
      </c>
      <c r="BT85" s="158">
        <f>IF(E85&gt;'Anketa-2014'!E86,0,IF(E85&lt;'Anketa-2014'!E86,0,IF(E85='Anketa-2014'!E86, 1)))</f>
        <v>1</v>
      </c>
      <c r="BU85" s="158">
        <f>IF(H85&gt;'Anketa-2014'!H86,0,IF(H85&lt;'Anketa-2014'!H86, 0,IF(H85='Anketa-2014'!H86, 1)))</f>
        <v>1</v>
      </c>
      <c r="BV85" s="150">
        <f>BO85+BP85+BQ85+BR85</f>
        <v>3</v>
      </c>
      <c r="BW85" s="150">
        <f>IF(BV85=3,1,IF(BV85&lt;3,0))</f>
        <v>1</v>
      </c>
      <c r="BX85" s="151">
        <f>BT85*BU85</f>
        <v>1</v>
      </c>
      <c r="BY85" s="151">
        <f>IF('Anketa-2014'!E95=E94,1,IF('Anketa-2014'!E95&lt;E94,0,IF('Anketa-2014'!E95&gt;E94,0)))</f>
        <v>1</v>
      </c>
      <c r="BZ85" s="151">
        <f>IF(BX85=1,5,IF(BX85=0,0))</f>
        <v>5</v>
      </c>
      <c r="CA85" s="151">
        <f>IF(BX85=0,3,IF(BX85=1,0))</f>
        <v>0</v>
      </c>
      <c r="CC85" s="153"/>
      <c r="CD85" s="157"/>
      <c r="CE85" s="157"/>
      <c r="CF85" s="156"/>
    </row>
    <row r="86" spans="1:84" s="65" customFormat="1" ht="12.75" customHeight="1" x14ac:dyDescent="0.2">
      <c r="A86" s="94">
        <v>62</v>
      </c>
      <c r="B86" s="117" t="str">
        <f>INDEX(T,18+INT(MOD(T83-1,7)),lang)</f>
        <v>Пай</v>
      </c>
      <c r="C86" s="96" t="str">
        <f>INDEX(T,24+MONTH(T83),lang) &amp; " " &amp; DAY(T83) &amp; ", " &amp; YEAR(T83)</f>
        <v>Июль 10, 2014</v>
      </c>
      <c r="D86" s="97">
        <f>TIME(HOUR(T83),MINUTE(T83),0)</f>
        <v>4.1666666666666664E-2</v>
      </c>
      <c r="E86" s="108" t="str">
        <f>V77</f>
        <v>W59</v>
      </c>
      <c r="F86" s="56"/>
      <c r="G86" s="57"/>
      <c r="H86" s="113" t="str">
        <f>V78</f>
        <v>W60</v>
      </c>
      <c r="I86" s="56"/>
      <c r="J86" s="57"/>
      <c r="K86" s="2"/>
      <c r="L86" s="164">
        <f>CC87+CD87+CE87</f>
        <v>13</v>
      </c>
      <c r="M86" s="25"/>
      <c r="N86" s="25"/>
      <c r="O86" s="25"/>
      <c r="P86" s="25"/>
      <c r="Q86" s="25"/>
      <c r="R86" s="25"/>
      <c r="S86" s="44"/>
      <c r="T86" s="64"/>
      <c r="U86" s="70"/>
      <c r="V86" s="70"/>
      <c r="X86" s="64"/>
      <c r="Y86" s="64"/>
      <c r="AA86" s="64"/>
      <c r="AC86" s="64"/>
      <c r="AD86" s="64"/>
      <c r="AE86" s="64"/>
      <c r="AF86" s="64"/>
      <c r="AG86" s="64"/>
      <c r="AH86" s="64"/>
      <c r="AI86" s="64"/>
      <c r="AJ86" s="64"/>
      <c r="AK86" s="64"/>
      <c r="AL86" s="64"/>
      <c r="AO86" s="66"/>
      <c r="AP86" s="67"/>
      <c r="AQ86" s="68"/>
      <c r="AR86" s="68"/>
      <c r="AS86" s="68"/>
      <c r="AT86" s="68"/>
      <c r="AU86" s="69"/>
      <c r="AV86" s="69"/>
      <c r="AW86" s="69"/>
      <c r="AX86" s="83"/>
      <c r="AY86" s="2"/>
      <c r="AZ86" s="2"/>
      <c r="BA86" s="2"/>
      <c r="BB86" s="133">
        <f>'Anketa-2014'!F87</f>
        <v>0</v>
      </c>
      <c r="BC86" s="133">
        <f>'Anketa-2014'!G87</f>
        <v>0</v>
      </c>
      <c r="BD86" s="133">
        <f>F86</f>
        <v>0</v>
      </c>
      <c r="BE86" s="133">
        <f>G86</f>
        <v>0</v>
      </c>
      <c r="BF86" s="133">
        <f t="shared" si="86"/>
        <v>1</v>
      </c>
      <c r="BG86" s="133">
        <f t="shared" si="87"/>
        <v>1</v>
      </c>
      <c r="BH86" s="133">
        <f t="shared" si="88"/>
        <v>2</v>
      </c>
      <c r="BI86" s="133" t="str">
        <f t="shared" si="89"/>
        <v>1</v>
      </c>
      <c r="BJ86" s="133" t="str">
        <f t="shared" si="89"/>
        <v>1</v>
      </c>
      <c r="BK86" s="133">
        <f t="shared" si="90"/>
        <v>0</v>
      </c>
      <c r="BL86" s="133">
        <f t="shared" si="91"/>
        <v>0</v>
      </c>
      <c r="BM86" s="133" t="str">
        <f t="shared" si="92"/>
        <v>0</v>
      </c>
      <c r="BN86" s="133" t="str">
        <f t="shared" si="93"/>
        <v>0</v>
      </c>
      <c r="BO86" s="133">
        <f t="shared" si="94"/>
        <v>1</v>
      </c>
      <c r="BP86" s="134" t="str">
        <f t="shared" si="95"/>
        <v>1</v>
      </c>
      <c r="BQ86" s="134" t="str">
        <f t="shared" si="96"/>
        <v>1</v>
      </c>
      <c r="BR86" s="134" t="str">
        <f t="shared" si="97"/>
        <v>0</v>
      </c>
      <c r="BS86" s="64"/>
      <c r="BT86" s="158">
        <f>IF(E86&gt;'Anketa-2014'!E87,0,IF(E86&lt;'Anketa-2014'!E87,0,IF(E86='Anketa-2014'!E87, 1)))</f>
        <v>1</v>
      </c>
      <c r="BU86" s="158">
        <f>IF(H86&gt;'Anketa-2014'!H87,0,IF(H86&lt;'Anketa-2014'!H87, 0,IF(H86='Anketa-2014'!H87, 1)))</f>
        <v>1</v>
      </c>
      <c r="BV86" s="150">
        <f>BO86+BP86+BQ86+BR86</f>
        <v>3</v>
      </c>
      <c r="BW86" s="150">
        <f>IF(BV86=3,1,IF(BV86&lt;3,0))</f>
        <v>1</v>
      </c>
      <c r="BX86" s="151">
        <f>BT86*BU86</f>
        <v>1</v>
      </c>
      <c r="BY86" s="151">
        <f>IF('Anketa-2014'!H95=H94,1,IF('Anketa-2014'!H95&lt;H94,0,IF('Anketa-2014'!H95&gt;H94,0)))</f>
        <v>1</v>
      </c>
      <c r="BZ86" s="151">
        <f>IF(BX86=1,5,IF(BX86=0,0))</f>
        <v>5</v>
      </c>
      <c r="CA86" s="151">
        <f>IF(BX86=0,3,IF(BX86=1,0))</f>
        <v>0</v>
      </c>
      <c r="CC86" s="155">
        <f>(BT85*BU85*BW85)*8</f>
        <v>8</v>
      </c>
      <c r="CD86" s="148">
        <f>BY85*BZ85</f>
        <v>5</v>
      </c>
      <c r="CE86" s="148">
        <f>BY85*CA85</f>
        <v>0</v>
      </c>
      <c r="CF86" s="156"/>
    </row>
    <row r="87" spans="1:84" s="65" customFormat="1" ht="15.75" thickBot="1" x14ac:dyDescent="0.25">
      <c r="A87" s="1"/>
      <c r="B87" s="1"/>
      <c r="C87" s="1"/>
      <c r="D87" s="3"/>
      <c r="E87" s="4"/>
      <c r="F87" s="5"/>
      <c r="G87" s="5"/>
      <c r="H87" s="6"/>
      <c r="I87" s="4"/>
      <c r="J87" s="4"/>
      <c r="K87" s="2"/>
      <c r="L87" s="25"/>
      <c r="M87" s="25"/>
      <c r="N87" s="25"/>
      <c r="O87" s="25"/>
      <c r="P87" s="25"/>
      <c r="Q87" s="25"/>
      <c r="R87" s="25"/>
      <c r="S87" s="44"/>
      <c r="T87" s="64">
        <f>DATE(2014,7,12)+TIME(9,0,0)+gmt_delta</f>
        <v>41833.041666666664</v>
      </c>
      <c r="U87" s="70"/>
      <c r="V87" s="70" t="str">
        <f>IF(OR(F90="",G90=""),"",IF(F90&gt;G90,E90,IF(F90&lt;G90,H90,IF(OR(I90="",J90=""),"",IF(I90&gt;J90,E90,IF(I90&lt;J90,H90,""))))))</f>
        <v/>
      </c>
      <c r="X87" s="64"/>
      <c r="Y87" s="64"/>
      <c r="AA87" s="64"/>
      <c r="AC87" s="64"/>
      <c r="AD87" s="64"/>
      <c r="AE87" s="64"/>
      <c r="AF87" s="64"/>
      <c r="AG87" s="64"/>
      <c r="AH87" s="64"/>
      <c r="AI87" s="64"/>
      <c r="AJ87" s="64"/>
      <c r="AK87" s="64"/>
      <c r="AL87" s="64"/>
      <c r="AO87" s="66"/>
      <c r="AP87" s="67"/>
      <c r="AQ87" s="68"/>
      <c r="AR87" s="68"/>
      <c r="AS87" s="68"/>
      <c r="AT87" s="68"/>
      <c r="AU87" s="69"/>
      <c r="AV87" s="69"/>
      <c r="AW87" s="69"/>
      <c r="AX87" s="83"/>
      <c r="AY87" s="2"/>
      <c r="AZ87" s="2"/>
      <c r="BA87" s="2"/>
      <c r="BB87" s="2"/>
      <c r="BC87" s="2"/>
      <c r="BD87" s="2"/>
      <c r="BE87" s="2"/>
      <c r="BF87" s="2"/>
      <c r="BG87" s="2"/>
      <c r="BH87" s="2"/>
      <c r="BI87" s="2"/>
      <c r="BJ87" s="2"/>
      <c r="BK87" s="2"/>
      <c r="BL87" s="2"/>
      <c r="BM87" s="2"/>
      <c r="BN87" s="2"/>
      <c r="BO87" s="2"/>
      <c r="BP87" s="2"/>
      <c r="BQ87" s="2"/>
      <c r="BR87" s="2"/>
      <c r="CC87" s="155">
        <f>(BT86*BU86*BW86)*8</f>
        <v>8</v>
      </c>
      <c r="CD87" s="148">
        <f>BY86*BZ86</f>
        <v>5</v>
      </c>
      <c r="CE87" s="148">
        <f>BY86*CA86</f>
        <v>0</v>
      </c>
      <c r="CF87" s="159"/>
    </row>
    <row r="88" spans="1:84" s="65" customFormat="1" ht="12.75" customHeight="1" x14ac:dyDescent="0.2">
      <c r="A88" s="233" t="str">
        <f>INDEX(T,7,lang)</f>
        <v>3-ўрин учун баҳс</v>
      </c>
      <c r="B88" s="234"/>
      <c r="C88" s="234"/>
      <c r="D88" s="234"/>
      <c r="E88" s="234"/>
      <c r="F88" s="234"/>
      <c r="G88" s="234"/>
      <c r="H88" s="234"/>
      <c r="I88" s="234"/>
      <c r="J88" s="235"/>
      <c r="K88" s="2"/>
      <c r="L88" s="275" t="s">
        <v>2797</v>
      </c>
      <c r="M88" s="25"/>
      <c r="N88" s="25"/>
      <c r="O88" s="25"/>
      <c r="P88" s="25"/>
      <c r="Q88" s="25"/>
      <c r="R88" s="25"/>
      <c r="S88" s="44"/>
      <c r="T88" s="64"/>
      <c r="U88" s="70"/>
      <c r="V88" s="70"/>
      <c r="X88" s="64"/>
      <c r="Y88" s="64"/>
      <c r="AA88" s="64"/>
      <c r="AC88" s="64"/>
      <c r="AD88" s="64"/>
      <c r="AE88" s="64"/>
      <c r="AF88" s="64"/>
      <c r="AG88" s="64"/>
      <c r="AH88" s="64"/>
      <c r="AI88" s="64"/>
      <c r="AJ88" s="64"/>
      <c r="AK88" s="64"/>
      <c r="AL88" s="64"/>
      <c r="AO88" s="66"/>
      <c r="AP88" s="67"/>
      <c r="AQ88" s="68"/>
      <c r="AR88" s="68"/>
      <c r="AS88" s="68"/>
      <c r="AT88" s="68"/>
      <c r="AU88" s="69"/>
      <c r="AV88" s="69"/>
      <c r="AW88" s="69"/>
      <c r="AX88" s="83"/>
      <c r="AY88" s="2"/>
      <c r="AZ88" s="2"/>
      <c r="BA88" s="2"/>
      <c r="BB88" s="2"/>
      <c r="BC88" s="2"/>
      <c r="BD88" s="2"/>
      <c r="BE88" s="2"/>
      <c r="BF88" s="2"/>
      <c r="BG88" s="2"/>
      <c r="BH88" s="2"/>
      <c r="BI88" s="2"/>
      <c r="BJ88" s="2"/>
      <c r="BK88" s="2"/>
      <c r="BL88" s="2"/>
      <c r="BM88" s="2"/>
      <c r="BN88" s="2"/>
      <c r="BO88" s="2"/>
      <c r="BP88" s="2"/>
      <c r="BQ88" s="2"/>
      <c r="BR88" s="2"/>
      <c r="CC88" s="153"/>
      <c r="CD88" s="157"/>
      <c r="CE88" s="157"/>
      <c r="CF88" s="159"/>
    </row>
    <row r="89" spans="1:84" s="65" customFormat="1" ht="12.75" customHeight="1" thickBot="1" x14ac:dyDescent="0.25">
      <c r="A89" s="330"/>
      <c r="B89" s="331"/>
      <c r="C89" s="331"/>
      <c r="D89" s="331"/>
      <c r="E89" s="331"/>
      <c r="F89" s="331"/>
      <c r="G89" s="331"/>
      <c r="H89" s="331"/>
      <c r="I89" s="331"/>
      <c r="J89" s="332"/>
      <c r="K89" s="2"/>
      <c r="L89" s="276"/>
      <c r="M89" s="25"/>
      <c r="N89" s="25"/>
      <c r="O89" s="25"/>
      <c r="P89" s="25"/>
      <c r="Q89" s="25"/>
      <c r="R89" s="25"/>
      <c r="S89" s="44"/>
      <c r="T89" s="64"/>
      <c r="U89" s="70"/>
      <c r="V89" s="70"/>
      <c r="X89" s="64"/>
      <c r="Y89" s="64"/>
      <c r="AA89" s="64"/>
      <c r="AC89" s="64"/>
      <c r="AD89" s="64"/>
      <c r="AE89" s="64"/>
      <c r="AF89" s="64"/>
      <c r="AG89" s="64"/>
      <c r="AH89" s="64"/>
      <c r="AI89" s="64"/>
      <c r="AJ89" s="64"/>
      <c r="AK89" s="64"/>
      <c r="AL89" s="64"/>
      <c r="AO89" s="66"/>
      <c r="AP89" s="67"/>
      <c r="AQ89" s="68"/>
      <c r="AR89" s="68"/>
      <c r="AS89" s="68"/>
      <c r="AT89" s="68"/>
      <c r="AU89" s="69"/>
      <c r="AV89" s="69"/>
      <c r="AW89" s="69"/>
      <c r="AX89" s="83"/>
      <c r="AY89" s="2"/>
      <c r="AZ89" s="2"/>
      <c r="BA89" s="2"/>
      <c r="BB89" s="2"/>
      <c r="BC89" s="2"/>
      <c r="BD89" s="2"/>
      <c r="BE89" s="2"/>
      <c r="BF89" s="2"/>
      <c r="BG89" s="2"/>
      <c r="BH89" s="2"/>
      <c r="BI89" s="2"/>
      <c r="BJ89" s="2"/>
      <c r="BK89" s="2"/>
      <c r="BL89" s="2"/>
      <c r="BM89" s="2"/>
      <c r="BN89" s="2"/>
      <c r="BO89" s="2"/>
      <c r="BP89" s="2"/>
      <c r="BQ89" s="2"/>
      <c r="BR89" s="2"/>
      <c r="CC89" s="153"/>
      <c r="CD89" s="157"/>
      <c r="CE89" s="157"/>
      <c r="CF89" s="159"/>
    </row>
    <row r="90" spans="1:84" s="65" customFormat="1" ht="12.75" customHeight="1" x14ac:dyDescent="0.2">
      <c r="A90" s="94">
        <v>63</v>
      </c>
      <c r="B90" s="117" t="str">
        <f>INDEX(T,18+INT(MOD(T87-1,7)),lang)</f>
        <v>Якш</v>
      </c>
      <c r="C90" s="96" t="str">
        <f>INDEX(T,24+MONTH(T87),lang) &amp; " " &amp; DAY(T87) &amp; ", " &amp; YEAR(T87)</f>
        <v>Июль 13, 2014</v>
      </c>
      <c r="D90" s="97">
        <f>TIME(HOUR(T87),MINUTE(T87),0)</f>
        <v>4.1666666666666664E-2</v>
      </c>
      <c r="E90" s="121" t="str">
        <f>Z82</f>
        <v>L61</v>
      </c>
      <c r="F90" s="62"/>
      <c r="G90" s="63"/>
      <c r="H90" s="122" t="str">
        <f>Z83</f>
        <v>L62</v>
      </c>
      <c r="I90" s="62"/>
      <c r="J90" s="63"/>
      <c r="K90" s="2"/>
      <c r="L90" s="164">
        <f>CC91+CD91+CE91+CF91</f>
        <v>25</v>
      </c>
      <c r="M90" s="25"/>
      <c r="N90" s="25"/>
      <c r="O90" s="25"/>
      <c r="P90" s="25"/>
      <c r="Q90" s="25"/>
      <c r="R90" s="25"/>
      <c r="S90" s="44"/>
      <c r="T90" s="64"/>
      <c r="U90" s="70"/>
      <c r="V90" s="70"/>
      <c r="X90" s="64"/>
      <c r="Y90" s="64"/>
      <c r="AA90" s="64"/>
      <c r="AC90" s="64"/>
      <c r="AD90" s="64"/>
      <c r="AE90" s="64"/>
      <c r="AF90" s="64"/>
      <c r="AG90" s="64"/>
      <c r="AH90" s="64"/>
      <c r="AI90" s="64"/>
      <c r="AJ90" s="64"/>
      <c r="AK90" s="64"/>
      <c r="AL90" s="64"/>
      <c r="AO90" s="66"/>
      <c r="AP90" s="67"/>
      <c r="AQ90" s="68"/>
      <c r="AR90" s="68"/>
      <c r="AS90" s="68"/>
      <c r="AT90" s="68"/>
      <c r="AU90" s="69"/>
      <c r="AV90" s="69"/>
      <c r="AW90" s="69"/>
      <c r="AX90" s="83"/>
      <c r="AY90" s="2"/>
      <c r="AZ90" s="2"/>
      <c r="BA90" s="2"/>
      <c r="BB90" s="133">
        <f>'Anketa-2014'!F91</f>
        <v>0</v>
      </c>
      <c r="BC90" s="133">
        <f>'Anketa-2014'!G91</f>
        <v>0</v>
      </c>
      <c r="BD90" s="133">
        <f>F90</f>
        <v>0</v>
      </c>
      <c r="BE90" s="133">
        <f>G90</f>
        <v>0</v>
      </c>
      <c r="BF90" s="133">
        <f t="shared" ref="BF90" si="98">IF(BD90=BE90,1,0)</f>
        <v>1</v>
      </c>
      <c r="BG90" s="133">
        <f t="shared" ref="BG90" si="99">IF(BB90=BC90,1,)</f>
        <v>1</v>
      </c>
      <c r="BH90" s="133">
        <f t="shared" ref="BH90" si="100">COUNTIF(BF90:BG90,"1")</f>
        <v>2</v>
      </c>
      <c r="BI90" s="133" t="str">
        <f t="shared" ref="BI90:BJ90" si="101">IF(BD90=BB90,"1","0")</f>
        <v>1</v>
      </c>
      <c r="BJ90" s="133" t="str">
        <f t="shared" si="101"/>
        <v>1</v>
      </c>
      <c r="BK90" s="133">
        <f t="shared" ref="BK90" si="102">BD90-BE90</f>
        <v>0</v>
      </c>
      <c r="BL90" s="133">
        <f t="shared" ref="BL90" si="103">BB90-BC90</f>
        <v>0</v>
      </c>
      <c r="BM90" s="133" t="str">
        <f t="shared" ref="BM90" si="104">IF((BK90*BL90)&gt;=0.1,"1","0")</f>
        <v>0</v>
      </c>
      <c r="BN90" s="133" t="str">
        <f t="shared" ref="BN90" si="105">IF((BK90*BL90)&gt;=0.1,"1","0")</f>
        <v>0</v>
      </c>
      <c r="BO90" s="133">
        <f t="shared" ref="BO90" si="106">COUNTIF(BH90,"2")</f>
        <v>1</v>
      </c>
      <c r="BP90" s="134" t="str">
        <f t="shared" ref="BP90" si="107">IF(BI90+BJ90=2,"1","0")</f>
        <v>1</v>
      </c>
      <c r="BQ90" s="134" t="str">
        <f t="shared" ref="BQ90" si="108">IF((BD90-BE90)=(BB90-BC90),"1","0")</f>
        <v>1</v>
      </c>
      <c r="BR90" s="134" t="str">
        <f t="shared" ref="BR90" si="109">IF((BM90+BN90)=2,"1","0")</f>
        <v>0</v>
      </c>
      <c r="BS90" s="64"/>
      <c r="BT90" s="158">
        <f>IF(E90&gt;'Anketa-2014'!E91,0,IF(E90&lt;'Anketa-2014'!E91,0,IF(E90='Anketa-2014'!E91, 1)))</f>
        <v>1</v>
      </c>
      <c r="BU90" s="158">
        <f>IF(H90&gt;'Anketa-2014'!H91,0,IF(H90&lt;'Anketa-2014'!H91, 0,IF(H90='Anketa-2014'!H91, 1)))</f>
        <v>1</v>
      </c>
      <c r="BV90" s="150">
        <f>BO90+BP90+BQ90+BR90</f>
        <v>3</v>
      </c>
      <c r="BW90" s="150">
        <f>IF(BV90=3,1,IF(BV90&lt;3,0))</f>
        <v>1</v>
      </c>
      <c r="BX90" s="151">
        <f>BT90*BU90</f>
        <v>1</v>
      </c>
      <c r="BY90" s="151">
        <f>IF(CB90&gt;'Anketa-2014'!AX91,0,IF(CB90&lt;'Anketa-2014'!AX91,0,IF(CB90='Anketa-2014'!AX91, 1)))</f>
        <v>1</v>
      </c>
      <c r="BZ90" s="151">
        <f>IF(BX90=1,10,IF(BX90=0,0))</f>
        <v>10</v>
      </c>
      <c r="CA90" s="151">
        <f>IF(BX90=0,6,IF(BX90=1,0))</f>
        <v>0</v>
      </c>
      <c r="CB90" s="160" t="str">
        <f>IF(OR(F90="",G90=""),"",IF(F90&gt;G90,E90,IF(F90&lt;G90,H90,IF(OR(I90="",J90=""),"",IF(I90&gt;J90,E90,IF(I90&lt;J90,H90,""))))))</f>
        <v/>
      </c>
      <c r="CC90" s="153"/>
      <c r="CD90" s="157"/>
      <c r="CE90" s="157"/>
      <c r="CF90" s="159"/>
    </row>
    <row r="91" spans="1:84" s="65" customFormat="1" ht="15.75" thickBot="1" x14ac:dyDescent="0.25">
      <c r="A91" s="1"/>
      <c r="B91" s="1"/>
      <c r="C91" s="1"/>
      <c r="D91" s="3"/>
      <c r="E91" s="4"/>
      <c r="F91" s="5"/>
      <c r="G91" s="5"/>
      <c r="H91" s="6"/>
      <c r="I91" s="4"/>
      <c r="J91" s="4"/>
      <c r="K91" s="2"/>
      <c r="L91" s="25"/>
      <c r="M91" s="25"/>
      <c r="N91" s="25"/>
      <c r="O91" s="25"/>
      <c r="P91" s="25"/>
      <c r="Q91" s="25"/>
      <c r="R91" s="25"/>
      <c r="S91" s="44"/>
      <c r="T91" s="64">
        <f>DATE(2014,7,13)+TIME(8,0,0)+gmt_delta</f>
        <v>41834</v>
      </c>
      <c r="U91" s="70" t="str">
        <f>IF(OR(F94="",G94=""),"",IF(F94&gt;G94,E94,IF(F94&lt;G94,H94,IF(OR(I94="",J94=""),"",IF(I94&gt;J94,E94,IF(I94&lt;J94,H94,""))))))</f>
        <v/>
      </c>
      <c r="V91" s="70" t="str">
        <f>U91</f>
        <v/>
      </c>
      <c r="X91" s="64"/>
      <c r="Y91" s="64"/>
      <c r="AA91" s="64"/>
      <c r="AC91" s="64"/>
      <c r="AD91" s="64"/>
      <c r="AE91" s="64"/>
      <c r="AF91" s="64"/>
      <c r="AG91" s="64"/>
      <c r="AH91" s="64"/>
      <c r="AI91" s="64"/>
      <c r="AJ91" s="64"/>
      <c r="AK91" s="64"/>
      <c r="AL91" s="64"/>
      <c r="AO91" s="66"/>
      <c r="AP91" s="67"/>
      <c r="AQ91" s="68"/>
      <c r="AR91" s="68"/>
      <c r="AS91" s="68"/>
      <c r="AT91" s="68"/>
      <c r="AU91" s="69"/>
      <c r="AV91" s="69"/>
      <c r="AW91" s="69"/>
      <c r="AX91" s="83"/>
      <c r="AY91" s="2"/>
      <c r="AZ91" s="2"/>
      <c r="BA91" s="2"/>
      <c r="BB91" s="2"/>
      <c r="BC91" s="2"/>
      <c r="BD91" s="2"/>
      <c r="BE91" s="2"/>
      <c r="BF91" s="2"/>
      <c r="BG91" s="2"/>
      <c r="BH91" s="2"/>
      <c r="BI91" s="2"/>
      <c r="BJ91" s="2"/>
      <c r="BK91" s="2"/>
      <c r="BL91" s="2"/>
      <c r="BM91" s="2"/>
      <c r="BN91" s="2"/>
      <c r="BO91" s="2"/>
      <c r="BP91" s="2"/>
      <c r="BQ91" s="2"/>
      <c r="BR91" s="2"/>
      <c r="CC91" s="155">
        <f>(BT90*BU90*BW90)*10</f>
        <v>10</v>
      </c>
      <c r="CD91" s="148">
        <f>IF(BX90=1,5,IF(BX90=0,0))</f>
        <v>5</v>
      </c>
      <c r="CE91" s="148">
        <f>BY90*CA90</f>
        <v>0</v>
      </c>
      <c r="CF91" s="159">
        <f>BY90*BZ90</f>
        <v>10</v>
      </c>
    </row>
    <row r="92" spans="1:84" s="65" customFormat="1" ht="12.75" customHeight="1" x14ac:dyDescent="0.2">
      <c r="A92" s="233" t="str">
        <f>INDEX(T,8,lang)</f>
        <v>Финал</v>
      </c>
      <c r="B92" s="234"/>
      <c r="C92" s="234"/>
      <c r="D92" s="234"/>
      <c r="E92" s="234"/>
      <c r="F92" s="234"/>
      <c r="G92" s="234"/>
      <c r="H92" s="234"/>
      <c r="I92" s="234"/>
      <c r="J92" s="235"/>
      <c r="K92" s="2"/>
      <c r="L92" s="275" t="s">
        <v>2797</v>
      </c>
      <c r="M92" s="25"/>
      <c r="N92" s="25"/>
      <c r="O92" s="25"/>
      <c r="P92" s="25"/>
      <c r="Q92" s="25"/>
      <c r="R92" s="25"/>
      <c r="S92" s="44"/>
      <c r="T92" s="64"/>
      <c r="U92" s="70"/>
      <c r="V92" s="70"/>
      <c r="X92" s="64"/>
      <c r="Y92" s="64"/>
      <c r="AA92" s="64"/>
      <c r="AC92" s="64"/>
      <c r="AD92" s="64"/>
      <c r="AE92" s="64"/>
      <c r="AF92" s="64"/>
      <c r="AG92" s="64"/>
      <c r="AH92" s="64"/>
      <c r="AI92" s="64"/>
      <c r="AJ92" s="64"/>
      <c r="AK92" s="64"/>
      <c r="AL92" s="64"/>
      <c r="AO92" s="66"/>
      <c r="AP92" s="67"/>
      <c r="AQ92" s="68"/>
      <c r="AR92" s="68"/>
      <c r="AS92" s="68"/>
      <c r="AT92" s="68"/>
      <c r="AU92" s="69"/>
      <c r="AV92" s="69"/>
      <c r="AW92" s="69"/>
      <c r="AX92" s="83"/>
      <c r="AY92" s="2"/>
      <c r="AZ92" s="2"/>
      <c r="BA92" s="2"/>
      <c r="BB92" s="2"/>
      <c r="BC92" s="2"/>
      <c r="BD92" s="2"/>
      <c r="BE92" s="2"/>
      <c r="BF92" s="2"/>
      <c r="BG92" s="2"/>
      <c r="BH92" s="2"/>
      <c r="BI92" s="2"/>
      <c r="BJ92" s="2"/>
      <c r="BK92" s="2"/>
      <c r="BL92" s="2"/>
      <c r="BM92" s="2"/>
      <c r="BN92" s="2"/>
      <c r="BO92" s="2"/>
      <c r="BP92" s="2"/>
      <c r="BQ92" s="2"/>
      <c r="BR92" s="2"/>
      <c r="CC92" s="153"/>
      <c r="CD92" s="157"/>
      <c r="CE92" s="157"/>
      <c r="CF92" s="159"/>
    </row>
    <row r="93" spans="1:84" s="65" customFormat="1" ht="12.75" customHeight="1" thickBot="1" x14ac:dyDescent="0.25">
      <c r="A93" s="330"/>
      <c r="B93" s="331"/>
      <c r="C93" s="331"/>
      <c r="D93" s="331"/>
      <c r="E93" s="331"/>
      <c r="F93" s="331"/>
      <c r="G93" s="331"/>
      <c r="H93" s="331"/>
      <c r="I93" s="331"/>
      <c r="J93" s="332"/>
      <c r="K93" s="2"/>
      <c r="L93" s="276"/>
      <c r="M93" s="25"/>
      <c r="N93" s="25"/>
      <c r="O93" s="25"/>
      <c r="P93" s="25"/>
      <c r="Q93" s="25"/>
      <c r="R93" s="25"/>
      <c r="S93" s="44"/>
      <c r="T93" s="64"/>
      <c r="U93" s="70"/>
      <c r="V93" s="70"/>
      <c r="X93" s="64"/>
      <c r="Y93" s="64"/>
      <c r="AA93" s="64"/>
      <c r="AC93" s="64"/>
      <c r="AD93" s="64"/>
      <c r="AE93" s="64"/>
      <c r="AF93" s="64"/>
      <c r="AG93" s="64"/>
      <c r="AH93" s="64"/>
      <c r="AI93" s="64"/>
      <c r="AJ93" s="64"/>
      <c r="AK93" s="64"/>
      <c r="AL93" s="64"/>
      <c r="AO93" s="66"/>
      <c r="AP93" s="67"/>
      <c r="AQ93" s="68"/>
      <c r="AR93" s="68"/>
      <c r="AS93" s="68"/>
      <c r="AT93" s="68"/>
      <c r="AU93" s="69"/>
      <c r="AV93" s="69"/>
      <c r="AW93" s="69"/>
      <c r="AX93" s="83"/>
      <c r="AY93" s="2"/>
      <c r="AZ93" s="2"/>
      <c r="BA93" s="2"/>
      <c r="BB93" s="2"/>
      <c r="BC93" s="2"/>
      <c r="BD93" s="2"/>
      <c r="BE93" s="2"/>
      <c r="BF93" s="2"/>
      <c r="BG93" s="2"/>
      <c r="BH93" s="2"/>
      <c r="BI93" s="2"/>
      <c r="BJ93" s="2"/>
      <c r="BK93" s="2"/>
      <c r="BL93" s="2"/>
      <c r="BM93" s="2"/>
      <c r="BN93" s="2"/>
      <c r="BO93" s="2"/>
      <c r="BP93" s="2"/>
      <c r="BQ93" s="2"/>
      <c r="BR93" s="2"/>
      <c r="CC93" s="153"/>
      <c r="CD93" s="157"/>
      <c r="CE93" s="157"/>
      <c r="CF93" s="159"/>
    </row>
    <row r="94" spans="1:84" s="65" customFormat="1" ht="12.75" customHeight="1" x14ac:dyDescent="0.2">
      <c r="A94" s="94">
        <v>64</v>
      </c>
      <c r="B94" s="117" t="str">
        <f>INDEX(T,18+INT(MOD(T91-1,7)),lang)</f>
        <v>Душ</v>
      </c>
      <c r="C94" s="96" t="str">
        <f>INDEX(T,24+MONTH(T91),lang) &amp; " " &amp; DAY(T91) &amp; ", " &amp; YEAR(T91)</f>
        <v>Июль 14, 2014</v>
      </c>
      <c r="D94" s="97">
        <f>TIME(HOUR(T91),MINUTE(T91),0)</f>
        <v>0</v>
      </c>
      <c r="E94" s="121" t="str">
        <f>V82</f>
        <v>W61</v>
      </c>
      <c r="F94" s="62"/>
      <c r="G94" s="63"/>
      <c r="H94" s="122" t="str">
        <f>V83</f>
        <v>W62</v>
      </c>
      <c r="I94" s="62"/>
      <c r="J94" s="63"/>
      <c r="K94" s="2"/>
      <c r="L94" s="164">
        <f>CC95+CD95+CE95+CF95</f>
        <v>34</v>
      </c>
      <c r="M94" s="25"/>
      <c r="N94" s="25"/>
      <c r="O94" s="25"/>
      <c r="P94" s="25"/>
      <c r="Q94" s="25"/>
      <c r="R94" s="25"/>
      <c r="S94" s="44"/>
      <c r="T94" s="64"/>
      <c r="U94" s="70"/>
      <c r="V94" s="70"/>
      <c r="X94" s="64"/>
      <c r="Y94" s="64"/>
      <c r="AA94" s="64"/>
      <c r="AC94" s="64"/>
      <c r="AD94" s="64"/>
      <c r="AE94" s="64"/>
      <c r="AF94" s="64"/>
      <c r="AG94" s="64"/>
      <c r="AH94" s="64"/>
      <c r="AI94" s="64"/>
      <c r="AJ94" s="64"/>
      <c r="AK94" s="64"/>
      <c r="AL94" s="64"/>
      <c r="AO94" s="66"/>
      <c r="AP94" s="67"/>
      <c r="AQ94" s="68"/>
      <c r="AR94" s="68"/>
      <c r="AS94" s="68"/>
      <c r="AT94" s="68"/>
      <c r="AU94" s="69"/>
      <c r="AV94" s="69"/>
      <c r="AW94" s="69"/>
      <c r="AX94" s="83"/>
      <c r="AY94" s="2"/>
      <c r="AZ94" s="2"/>
      <c r="BA94" s="2"/>
      <c r="BB94" s="133">
        <f>'Anketa-2014'!F95</f>
        <v>0</v>
      </c>
      <c r="BC94" s="133">
        <f>'Anketa-2014'!G95</f>
        <v>0</v>
      </c>
      <c r="BD94" s="133">
        <f>F94</f>
        <v>0</v>
      </c>
      <c r="BE94" s="133">
        <f>G94</f>
        <v>0</v>
      </c>
      <c r="BF94" s="133">
        <f t="shared" ref="BF94" si="110">IF(BD94=BE94,1,0)</f>
        <v>1</v>
      </c>
      <c r="BG94" s="133">
        <f t="shared" ref="BG94" si="111">IF(BB94=BC94,1,)</f>
        <v>1</v>
      </c>
      <c r="BH94" s="133">
        <f t="shared" ref="BH94" si="112">COUNTIF(BF94:BG94,"1")</f>
        <v>2</v>
      </c>
      <c r="BI94" s="133" t="str">
        <f t="shared" ref="BI94:BJ94" si="113">IF(BD94=BB94,"1","0")</f>
        <v>1</v>
      </c>
      <c r="BJ94" s="133" t="str">
        <f t="shared" si="113"/>
        <v>1</v>
      </c>
      <c r="BK94" s="133">
        <f t="shared" ref="BK94" si="114">BD94-BE94</f>
        <v>0</v>
      </c>
      <c r="BL94" s="133">
        <f t="shared" ref="BL94" si="115">BB94-BC94</f>
        <v>0</v>
      </c>
      <c r="BM94" s="133" t="str">
        <f t="shared" ref="BM94" si="116">IF((BK94*BL94)&gt;=0.1,"1","0")</f>
        <v>0</v>
      </c>
      <c r="BN94" s="133" t="str">
        <f t="shared" ref="BN94" si="117">IF((BK94*BL94)&gt;=0.1,"1","0")</f>
        <v>0</v>
      </c>
      <c r="BO94" s="133">
        <f t="shared" ref="BO94" si="118">COUNTIF(BH94,"2")</f>
        <v>1</v>
      </c>
      <c r="BP94" s="134" t="str">
        <f t="shared" ref="BP94" si="119">IF(BI94+BJ94=2,"1","0")</f>
        <v>1</v>
      </c>
      <c r="BQ94" s="134" t="str">
        <f t="shared" ref="BQ94" si="120">IF((BD94-BE94)=(BB94-BC94),"1","0")</f>
        <v>1</v>
      </c>
      <c r="BR94" s="134" t="str">
        <f t="shared" ref="BR94" si="121">IF((BM94+BN94)=2,"1","0")</f>
        <v>0</v>
      </c>
      <c r="BS94" s="64"/>
      <c r="BT94" s="158">
        <f>IF(E94&gt;'Anketa-2014'!E95,0,IF(E94&lt;'Anketa-2014'!E95,0,IF(E94='Anketa-2014'!E95, 1)))</f>
        <v>1</v>
      </c>
      <c r="BU94" s="158">
        <f>IF(H94&gt;'Anketa-2014'!H95,0,IF(H94&lt;'Anketa-2014'!H95, 0,IF(H94='Anketa-2014'!H95, 1)))</f>
        <v>1</v>
      </c>
      <c r="BV94" s="150">
        <f>BO94+BP94+BQ94+BR94</f>
        <v>3</v>
      </c>
      <c r="BW94" s="150">
        <f>IF(BV94=3,1,IF(BV94&lt;3,0))</f>
        <v>1</v>
      </c>
      <c r="BX94" s="151">
        <f>BT94*BU94</f>
        <v>1</v>
      </c>
      <c r="BY94" s="151">
        <f>IF(F96&gt;'Anketa-2014'!F97,0,IF(F96&lt;'Anketa-2014'!F97,0,IF(F96='Anketa-2014'!F97, 1)))</f>
        <v>1</v>
      </c>
      <c r="BZ94" s="151">
        <f>IF(BX94=1,15,IF(BX94=0,0))</f>
        <v>15</v>
      </c>
      <c r="CA94" s="151">
        <f>IF(BX94=0,7,IF(BX94=1,0))</f>
        <v>0</v>
      </c>
      <c r="CC94" s="153"/>
      <c r="CD94" s="157"/>
      <c r="CE94" s="157"/>
      <c r="CF94" s="159"/>
    </row>
    <row r="95" spans="1:84" s="65" customFormat="1" ht="15.75" thickBot="1" x14ac:dyDescent="0.25">
      <c r="A95" s="1"/>
      <c r="B95" s="1"/>
      <c r="C95" s="1"/>
      <c r="D95" s="3"/>
      <c r="E95" s="4"/>
      <c r="F95" s="5"/>
      <c r="G95" s="5"/>
      <c r="H95" s="6"/>
      <c r="I95" s="4"/>
      <c r="J95" s="4"/>
      <c r="K95" s="2"/>
      <c r="L95" s="24"/>
      <c r="M95" s="25"/>
      <c r="N95" s="25"/>
      <c r="O95" s="25"/>
      <c r="P95" s="25"/>
      <c r="Q95" s="25"/>
      <c r="R95" s="25"/>
      <c r="S95" s="44"/>
      <c r="T95" s="64"/>
      <c r="U95" s="70"/>
      <c r="V95" s="70"/>
      <c r="X95" s="64"/>
      <c r="Y95" s="64"/>
      <c r="AA95" s="64"/>
      <c r="AC95" s="64"/>
      <c r="AD95" s="64"/>
      <c r="AE95" s="64"/>
      <c r="AF95" s="64"/>
      <c r="AG95" s="64"/>
      <c r="AH95" s="64"/>
      <c r="AI95" s="64"/>
      <c r="AJ95" s="64"/>
      <c r="AK95" s="64"/>
      <c r="AL95" s="64"/>
      <c r="AO95" s="66"/>
      <c r="AP95" s="67"/>
      <c r="AQ95" s="68"/>
      <c r="AR95" s="68"/>
      <c r="AS95" s="68"/>
      <c r="AT95" s="68"/>
      <c r="AU95" s="69"/>
      <c r="AV95" s="69"/>
      <c r="AW95" s="69"/>
      <c r="AX95" s="83"/>
      <c r="AY95" s="2"/>
      <c r="AZ95" s="2"/>
      <c r="BA95" s="2"/>
      <c r="BB95" s="2"/>
      <c r="BC95" s="2"/>
      <c r="BD95" s="2"/>
      <c r="BE95" s="2"/>
      <c r="BF95" s="2"/>
      <c r="BG95" s="2"/>
      <c r="BH95" s="2"/>
      <c r="BI95" s="2"/>
      <c r="BJ95" s="2"/>
      <c r="BK95" s="2"/>
      <c r="BL95" s="2"/>
      <c r="BM95" s="2"/>
      <c r="BN95" s="2"/>
      <c r="BO95" s="2"/>
      <c r="BP95" s="2"/>
      <c r="BQ95" s="2"/>
      <c r="BR95" s="2"/>
      <c r="CC95" s="155">
        <f>(BT94*BU94*BW94)*12</f>
        <v>12</v>
      </c>
      <c r="CD95" s="148">
        <f>IF(BX94=1,7,IF(BX94=0,0))</f>
        <v>7</v>
      </c>
      <c r="CE95" s="148">
        <f>BY94*CA94</f>
        <v>0</v>
      </c>
      <c r="CF95" s="159">
        <f>BY94*BZ94</f>
        <v>15</v>
      </c>
    </row>
    <row r="96" spans="1:84" s="65" customFormat="1" ht="12.75" customHeight="1" x14ac:dyDescent="0.2">
      <c r="A96" s="225" t="str">
        <f>INDEX(T,102,lang)</f>
        <v>2014 йилги Жаҳон Чемпиони</v>
      </c>
      <c r="B96" s="225"/>
      <c r="C96" s="225"/>
      <c r="D96" s="225"/>
      <c r="E96" s="225"/>
      <c r="F96" s="227" t="str">
        <f>U91</f>
        <v/>
      </c>
      <c r="G96" s="228"/>
      <c r="H96" s="228"/>
      <c r="I96" s="228"/>
      <c r="J96" s="229"/>
      <c r="K96" s="2"/>
      <c r="L96" s="24"/>
      <c r="M96" s="25"/>
      <c r="N96" s="25"/>
      <c r="O96" s="25"/>
      <c r="P96" s="25"/>
      <c r="Q96" s="25"/>
      <c r="R96" s="25"/>
      <c r="S96" s="44"/>
      <c r="T96" s="64"/>
      <c r="U96" s="70"/>
      <c r="V96" s="70"/>
      <c r="X96" s="64"/>
      <c r="Y96" s="64"/>
      <c r="AA96" s="64"/>
      <c r="AC96" s="64"/>
      <c r="AD96" s="64"/>
      <c r="AE96" s="64"/>
      <c r="AF96" s="64"/>
      <c r="AG96" s="64"/>
      <c r="AH96" s="64"/>
      <c r="AI96" s="64"/>
      <c r="AJ96" s="64"/>
      <c r="AK96" s="64"/>
      <c r="AL96" s="64"/>
      <c r="AO96" s="66"/>
      <c r="AP96" s="67"/>
      <c r="AQ96" s="68"/>
      <c r="AR96" s="68"/>
      <c r="AS96" s="68"/>
      <c r="AT96" s="68"/>
      <c r="AU96" s="69"/>
      <c r="AV96" s="69"/>
      <c r="AW96" s="69"/>
      <c r="AX96" s="83"/>
      <c r="AY96" s="2"/>
      <c r="AZ96" s="2"/>
      <c r="BA96" s="2"/>
      <c r="BB96" s="2"/>
      <c r="BC96" s="2"/>
      <c r="BD96" s="2"/>
      <c r="BE96" s="2"/>
      <c r="BF96" s="2"/>
      <c r="BG96" s="2"/>
      <c r="BH96" s="2"/>
      <c r="BI96" s="2"/>
      <c r="BJ96" s="2"/>
      <c r="BK96" s="2"/>
      <c r="BL96" s="2"/>
      <c r="BM96" s="2"/>
      <c r="BN96" s="2"/>
      <c r="BO96" s="2"/>
      <c r="BP96" s="2"/>
      <c r="BQ96" s="2"/>
      <c r="BR96" s="2"/>
    </row>
    <row r="97" spans="1:75" s="65" customFormat="1" ht="12.75" customHeight="1" thickBot="1" x14ac:dyDescent="0.25">
      <c r="A97" s="226"/>
      <c r="B97" s="226"/>
      <c r="C97" s="226"/>
      <c r="D97" s="226"/>
      <c r="E97" s="226"/>
      <c r="F97" s="230"/>
      <c r="G97" s="231"/>
      <c r="H97" s="231"/>
      <c r="I97" s="231"/>
      <c r="J97" s="232"/>
      <c r="K97" s="2"/>
      <c r="L97" s="24"/>
      <c r="M97" s="25"/>
      <c r="N97" s="25"/>
      <c r="O97" s="25"/>
      <c r="P97" s="25"/>
      <c r="Q97" s="25"/>
      <c r="R97" s="25"/>
      <c r="S97" s="44"/>
      <c r="T97" s="64"/>
      <c r="U97" s="70"/>
      <c r="V97" s="70"/>
      <c r="X97" s="64"/>
      <c r="Y97" s="64"/>
      <c r="AA97" s="64"/>
      <c r="AC97" s="64"/>
      <c r="AD97" s="64"/>
      <c r="AE97" s="64"/>
      <c r="AF97" s="64"/>
      <c r="AG97" s="64"/>
      <c r="AH97" s="64"/>
      <c r="AI97" s="64"/>
      <c r="AJ97" s="64"/>
      <c r="AK97" s="64"/>
      <c r="AL97" s="64"/>
      <c r="AO97" s="66"/>
      <c r="AP97" s="67"/>
      <c r="AQ97" s="68"/>
      <c r="AR97" s="68"/>
      <c r="AS97" s="68"/>
      <c r="AT97" s="68"/>
      <c r="AU97" s="69"/>
      <c r="AV97" s="69"/>
      <c r="AW97" s="69"/>
      <c r="AX97" s="83"/>
      <c r="AY97" s="2"/>
      <c r="AZ97" s="2"/>
      <c r="BA97" s="2"/>
      <c r="BB97" s="2"/>
      <c r="BC97" s="2"/>
      <c r="BD97" s="2"/>
      <c r="BE97" s="2"/>
      <c r="BF97" s="2"/>
      <c r="BG97" s="2"/>
      <c r="BH97" s="2"/>
      <c r="BI97" s="2"/>
      <c r="BJ97" s="2"/>
      <c r="BK97" s="2"/>
      <c r="BL97" s="2"/>
      <c r="BM97" s="2"/>
      <c r="BN97" s="2"/>
      <c r="BO97" s="2"/>
      <c r="BP97" s="2"/>
      <c r="BQ97" s="2"/>
      <c r="BR97" s="2"/>
    </row>
    <row r="99" spans="1:75" ht="13.5" thickBot="1" x14ac:dyDescent="0.25"/>
    <row r="100" spans="1:75" s="65" customFormat="1" ht="21" x14ac:dyDescent="0.2">
      <c r="A100" s="333" t="s">
        <v>2747</v>
      </c>
      <c r="B100" s="334"/>
      <c r="C100" s="334"/>
      <c r="D100" s="334"/>
      <c r="E100" s="335"/>
      <c r="F100" s="5"/>
      <c r="G100" s="5"/>
      <c r="H100" s="323" t="s">
        <v>2797</v>
      </c>
      <c r="I100" s="4"/>
      <c r="J100" s="4"/>
      <c r="K100" s="2"/>
      <c r="L100" s="24"/>
      <c r="M100" s="25"/>
      <c r="N100" s="25"/>
      <c r="O100" s="25"/>
      <c r="P100" s="25"/>
      <c r="Q100" s="25"/>
      <c r="R100" s="25"/>
      <c r="S100" s="44"/>
      <c r="T100" s="64"/>
      <c r="U100" s="70"/>
      <c r="V100" s="70"/>
      <c r="X100" s="64"/>
      <c r="Y100" s="64"/>
      <c r="AA100" s="64"/>
      <c r="AC100" s="64"/>
      <c r="AD100" s="64"/>
      <c r="AE100" s="64"/>
      <c r="AF100" s="64"/>
      <c r="AG100" s="64"/>
      <c r="AH100" s="64"/>
      <c r="AI100" s="64"/>
      <c r="AJ100" s="64"/>
      <c r="AK100" s="64"/>
      <c r="AL100" s="64"/>
      <c r="AO100" s="66"/>
      <c r="AP100" s="67"/>
      <c r="AQ100" s="68"/>
      <c r="AR100" s="68"/>
      <c r="AS100" s="68"/>
      <c r="AT100" s="68"/>
      <c r="AU100" s="69"/>
      <c r="AV100" s="69"/>
      <c r="AW100" s="69"/>
      <c r="AX100" s="83"/>
      <c r="AY100" s="2"/>
      <c r="AZ100" s="2"/>
      <c r="BA100" s="2"/>
      <c r="BB100" s="2"/>
      <c r="BC100" s="2"/>
      <c r="BD100" s="2"/>
      <c r="BE100" s="2"/>
      <c r="BF100" s="2"/>
      <c r="BG100" s="2"/>
      <c r="BH100" s="2"/>
      <c r="BI100" s="2"/>
      <c r="BJ100" s="2"/>
      <c r="BK100" s="2"/>
      <c r="BL100" s="2"/>
      <c r="BM100" s="2"/>
      <c r="BN100" s="2"/>
      <c r="BO100" s="2"/>
      <c r="BP100" s="2"/>
      <c r="BQ100" s="2"/>
      <c r="BR100" s="2"/>
    </row>
    <row r="101" spans="1:75" s="65" customFormat="1" ht="15.75" customHeight="1" thickBot="1" x14ac:dyDescent="0.25">
      <c r="A101" s="320" t="s">
        <v>2810</v>
      </c>
      <c r="B101" s="321"/>
      <c r="C101" s="321"/>
      <c r="D101" s="321"/>
      <c r="E101" s="322"/>
      <c r="F101" s="5"/>
      <c r="G101" s="5"/>
      <c r="H101" s="324"/>
      <c r="I101" s="4"/>
      <c r="J101" s="4"/>
      <c r="K101" s="2"/>
      <c r="L101" s="24"/>
      <c r="M101" s="25"/>
      <c r="N101" s="25"/>
      <c r="O101" s="25"/>
      <c r="P101" s="25"/>
      <c r="Q101" s="25"/>
      <c r="R101" s="25"/>
      <c r="S101" s="44"/>
      <c r="T101" s="64"/>
      <c r="U101" s="70"/>
      <c r="V101" s="70"/>
      <c r="X101" s="64"/>
      <c r="Y101" s="64"/>
      <c r="AA101" s="64"/>
      <c r="AC101" s="64"/>
      <c r="AD101" s="64"/>
      <c r="AE101" s="64"/>
      <c r="AF101" s="64"/>
      <c r="AG101" s="64"/>
      <c r="AH101" s="64"/>
      <c r="AI101" s="64"/>
      <c r="AJ101" s="64"/>
      <c r="AK101" s="64"/>
      <c r="AL101" s="64"/>
      <c r="AO101" s="66"/>
      <c r="AP101" s="67"/>
      <c r="AQ101" s="68"/>
      <c r="AR101" s="68"/>
      <c r="AS101" s="68"/>
      <c r="AT101" s="68"/>
      <c r="AU101" s="69"/>
      <c r="AV101" s="69"/>
      <c r="AW101" s="69"/>
      <c r="AX101" s="83"/>
      <c r="AY101" s="2"/>
      <c r="AZ101" s="2"/>
      <c r="BA101" s="2"/>
      <c r="BB101" s="2"/>
      <c r="BC101" s="2"/>
      <c r="BD101" s="2"/>
      <c r="BE101" s="2"/>
      <c r="BF101" s="2"/>
      <c r="BG101" s="2"/>
      <c r="BH101" s="2"/>
      <c r="BI101" s="2"/>
      <c r="BJ101" s="2"/>
      <c r="BK101" s="2"/>
      <c r="BL101" s="2"/>
      <c r="BM101" s="2"/>
      <c r="BN101" s="2"/>
      <c r="BO101" s="2"/>
      <c r="BP101" s="2"/>
      <c r="BQ101" s="2"/>
      <c r="BR101" s="2"/>
    </row>
    <row r="102" spans="1:75" x14ac:dyDescent="0.2">
      <c r="A102" s="318"/>
      <c r="B102" s="319"/>
      <c r="C102" s="319"/>
      <c r="D102" s="319"/>
      <c r="E102" s="319"/>
    </row>
    <row r="103" spans="1:75" s="5" customFormat="1" ht="12.75" customHeight="1" x14ac:dyDescent="0.2">
      <c r="A103" s="315" t="s">
        <v>2748</v>
      </c>
      <c r="B103" s="316"/>
      <c r="C103" s="316"/>
      <c r="D103" s="317"/>
      <c r="E103" s="161"/>
      <c r="H103" s="325">
        <f>IF(BV103=2,10,IF(BV103=1,5,IF(BV103=0,0)))</f>
        <v>10</v>
      </c>
      <c r="I103" s="4"/>
      <c r="J103" s="4"/>
      <c r="K103" s="2"/>
      <c r="L103" s="24"/>
      <c r="M103" s="25"/>
      <c r="N103" s="25"/>
      <c r="O103" s="25"/>
      <c r="P103" s="25"/>
      <c r="Q103" s="25"/>
      <c r="R103" s="25"/>
      <c r="S103" s="44"/>
      <c r="T103" s="64"/>
      <c r="U103" s="70"/>
      <c r="V103" s="70"/>
      <c r="W103" s="65"/>
      <c r="X103" s="64"/>
      <c r="Y103" s="64"/>
      <c r="Z103" s="65"/>
      <c r="AA103" s="64"/>
      <c r="AB103" s="65"/>
      <c r="AC103" s="64"/>
      <c r="AD103" s="64"/>
      <c r="AE103" s="64"/>
      <c r="AF103" s="64"/>
      <c r="AG103" s="64"/>
      <c r="AH103" s="64"/>
      <c r="AI103" s="64"/>
      <c r="AJ103" s="64"/>
      <c r="AK103" s="64"/>
      <c r="AL103" s="64"/>
      <c r="AM103" s="65"/>
      <c r="AN103" s="65"/>
      <c r="AO103" s="66"/>
      <c r="AP103" s="67"/>
      <c r="AQ103" s="68"/>
      <c r="AR103" s="68"/>
      <c r="AS103" s="68"/>
      <c r="AT103" s="68"/>
      <c r="AU103" s="69"/>
      <c r="AV103" s="69"/>
      <c r="AW103" s="69"/>
      <c r="AX103" s="83"/>
      <c r="AY103" s="2"/>
      <c r="AZ103" s="2"/>
      <c r="BA103" s="2"/>
      <c r="BB103" s="2"/>
      <c r="BC103" s="2"/>
      <c r="BD103" s="2"/>
      <c r="BE103" s="2"/>
      <c r="BF103" s="2"/>
      <c r="BG103" s="2"/>
      <c r="BH103" s="2"/>
      <c r="BI103" s="2"/>
      <c r="BJ103" s="2"/>
      <c r="BK103" s="2"/>
      <c r="BL103" s="2"/>
      <c r="BM103" s="2"/>
      <c r="BN103" s="2"/>
      <c r="BO103" s="2"/>
      <c r="BP103" s="2"/>
      <c r="BQ103" s="2"/>
      <c r="BR103" s="2"/>
      <c r="BT103" s="158">
        <f>IF(E103&gt;'Anketa-2014'!E103,0,IF(E103&lt;'Anketa-2014'!E103,0,IF(E103='Anketa-2014'!E103, 1)))</f>
        <v>1</v>
      </c>
      <c r="BU103" s="158">
        <f>BT103+BT104</f>
        <v>2</v>
      </c>
      <c r="BV103" s="158">
        <f>BT103*BU103</f>
        <v>2</v>
      </c>
      <c r="BW103" s="158"/>
    </row>
    <row r="104" spans="1:75" s="5" customFormat="1" ht="12.75" customHeight="1" x14ac:dyDescent="0.2">
      <c r="A104" s="315" t="s">
        <v>2749</v>
      </c>
      <c r="B104" s="316"/>
      <c r="C104" s="316"/>
      <c r="D104" s="317"/>
      <c r="E104" s="161"/>
      <c r="H104" s="326"/>
      <c r="I104" s="4"/>
      <c r="J104" s="4"/>
      <c r="K104" s="2"/>
      <c r="L104" s="24"/>
      <c r="M104" s="25"/>
      <c r="N104" s="25"/>
      <c r="O104" s="25"/>
      <c r="P104" s="25"/>
      <c r="Q104" s="25"/>
      <c r="R104" s="25"/>
      <c r="S104" s="44"/>
      <c r="T104" s="64"/>
      <c r="U104" s="70"/>
      <c r="V104" s="70"/>
      <c r="W104" s="65"/>
      <c r="X104" s="64"/>
      <c r="Y104" s="64"/>
      <c r="Z104" s="65"/>
      <c r="AA104" s="64"/>
      <c r="AB104" s="65"/>
      <c r="AC104" s="64"/>
      <c r="AD104" s="64"/>
      <c r="AE104" s="64"/>
      <c r="AF104" s="64"/>
      <c r="AG104" s="64"/>
      <c r="AH104" s="64"/>
      <c r="AI104" s="64"/>
      <c r="AJ104" s="64"/>
      <c r="AK104" s="64"/>
      <c r="AL104" s="64"/>
      <c r="AM104" s="65"/>
      <c r="AN104" s="65"/>
      <c r="AO104" s="66"/>
      <c r="AP104" s="67"/>
      <c r="AQ104" s="68"/>
      <c r="AR104" s="68"/>
      <c r="AS104" s="68"/>
      <c r="AT104" s="68"/>
      <c r="AU104" s="69"/>
      <c r="AV104" s="69"/>
      <c r="AW104" s="69"/>
      <c r="AX104" s="83"/>
      <c r="AY104" s="2"/>
      <c r="AZ104" s="2"/>
      <c r="BA104" s="2"/>
      <c r="BB104" s="2"/>
      <c r="BC104" s="2"/>
      <c r="BD104" s="2"/>
      <c r="BE104" s="2"/>
      <c r="BF104" s="2"/>
      <c r="BG104" s="2"/>
      <c r="BH104" s="2"/>
      <c r="BI104" s="2"/>
      <c r="BJ104" s="2"/>
      <c r="BK104" s="2"/>
      <c r="BL104" s="2"/>
      <c r="BM104" s="2"/>
      <c r="BN104" s="2"/>
      <c r="BO104" s="2"/>
      <c r="BP104" s="2"/>
      <c r="BQ104" s="2"/>
      <c r="BR104" s="2"/>
      <c r="BT104" s="158">
        <f>IF(E104&gt;'Anketa-2014'!E104,0,IF(E104&lt;'Anketa-2014'!E104,0,IF(E104='Anketa-2014'!E104, 1)))</f>
        <v>1</v>
      </c>
    </row>
    <row r="105" spans="1:75" s="5" customFormat="1" ht="15.75" x14ac:dyDescent="0.2">
      <c r="A105" s="315" t="s">
        <v>2750</v>
      </c>
      <c r="B105" s="316"/>
      <c r="C105" s="316"/>
      <c r="D105" s="317"/>
      <c r="E105" s="161" t="s">
        <v>2707</v>
      </c>
      <c r="H105" s="325">
        <f>IF(BV105=2,6,IF(BV105=1,3,IF(BV105=0,0)))</f>
        <v>6</v>
      </c>
      <c r="I105" s="4"/>
      <c r="J105" s="4"/>
      <c r="K105" s="2"/>
      <c r="L105" s="24"/>
      <c r="M105" s="25"/>
      <c r="N105" s="25"/>
      <c r="O105" s="25"/>
      <c r="P105" s="25"/>
      <c r="Q105" s="25"/>
      <c r="R105" s="25"/>
      <c r="S105" s="44"/>
      <c r="T105" s="64"/>
      <c r="U105" s="70"/>
      <c r="V105" s="70"/>
      <c r="W105" s="65"/>
      <c r="X105" s="64"/>
      <c r="Y105" s="64"/>
      <c r="Z105" s="65"/>
      <c r="AA105" s="64"/>
      <c r="AB105" s="65"/>
      <c r="AC105" s="64"/>
      <c r="AD105" s="64"/>
      <c r="AE105" s="64"/>
      <c r="AF105" s="64"/>
      <c r="AG105" s="64"/>
      <c r="AH105" s="64"/>
      <c r="AI105" s="64"/>
      <c r="AJ105" s="64"/>
      <c r="AK105" s="64"/>
      <c r="AL105" s="64"/>
      <c r="AM105" s="65"/>
      <c r="AN105" s="65"/>
      <c r="AO105" s="66"/>
      <c r="AP105" s="67"/>
      <c r="AQ105" s="68"/>
      <c r="AR105" s="68"/>
      <c r="AS105" s="68"/>
      <c r="AT105" s="68"/>
      <c r="AU105" s="69"/>
      <c r="AV105" s="69"/>
      <c r="AW105" s="69"/>
      <c r="AX105" s="83"/>
      <c r="AY105" s="2"/>
      <c r="AZ105" s="2"/>
      <c r="BA105" s="2"/>
      <c r="BB105" s="2"/>
      <c r="BC105" s="2"/>
      <c r="BD105" s="2"/>
      <c r="BE105" s="2"/>
      <c r="BF105" s="2"/>
      <c r="BG105" s="2"/>
      <c r="BH105" s="2"/>
      <c r="BI105" s="2"/>
      <c r="BJ105" s="2"/>
      <c r="BK105" s="2"/>
      <c r="BL105" s="2"/>
      <c r="BM105" s="2"/>
      <c r="BN105" s="2"/>
      <c r="BO105" s="2"/>
      <c r="BP105" s="2"/>
      <c r="BQ105" s="2"/>
      <c r="BR105" s="2"/>
      <c r="BT105" s="158">
        <f>IF(E105&gt;'Anketa-2014'!E105,0,IF(E105&lt;'Anketa-2014'!E105,0,IF(E105='Anketa-2014'!E105, 1)))</f>
        <v>1</v>
      </c>
      <c r="BU105" s="158">
        <f>BT105+BT106</f>
        <v>2</v>
      </c>
      <c r="BV105" s="158">
        <f>BT105*BU105</f>
        <v>2</v>
      </c>
      <c r="BW105" s="158"/>
    </row>
    <row r="106" spans="1:75" s="5" customFormat="1" ht="15.75" x14ac:dyDescent="0.2">
      <c r="A106" s="315" t="s">
        <v>2749</v>
      </c>
      <c r="B106" s="316"/>
      <c r="C106" s="316"/>
      <c r="D106" s="317"/>
      <c r="E106" s="161"/>
      <c r="H106" s="326"/>
      <c r="I106" s="4"/>
      <c r="J106" s="4"/>
      <c r="K106" s="2"/>
      <c r="L106" s="24"/>
      <c r="M106" s="25"/>
      <c r="N106" s="25"/>
      <c r="O106" s="25"/>
      <c r="P106" s="25"/>
      <c r="Q106" s="25"/>
      <c r="R106" s="25"/>
      <c r="S106" s="44"/>
      <c r="T106" s="64"/>
      <c r="U106" s="70"/>
      <c r="V106" s="70"/>
      <c r="W106" s="65"/>
      <c r="X106" s="64"/>
      <c r="Y106" s="64"/>
      <c r="Z106" s="65"/>
      <c r="AA106" s="64"/>
      <c r="AB106" s="65"/>
      <c r="AC106" s="64"/>
      <c r="AD106" s="64"/>
      <c r="AE106" s="64"/>
      <c r="AF106" s="64"/>
      <c r="AG106" s="64"/>
      <c r="AH106" s="64"/>
      <c r="AI106" s="64"/>
      <c r="AJ106" s="64"/>
      <c r="AK106" s="64"/>
      <c r="AL106" s="64"/>
      <c r="AM106" s="65"/>
      <c r="AN106" s="65"/>
      <c r="AO106" s="66"/>
      <c r="AP106" s="67"/>
      <c r="AQ106" s="68"/>
      <c r="AR106" s="68"/>
      <c r="AS106" s="68"/>
      <c r="AT106" s="68"/>
      <c r="AU106" s="69"/>
      <c r="AV106" s="69"/>
      <c r="AW106" s="69"/>
      <c r="AX106" s="83"/>
      <c r="AY106" s="2"/>
      <c r="AZ106" s="2"/>
      <c r="BA106" s="2"/>
      <c r="BB106" s="2"/>
      <c r="BC106" s="2"/>
      <c r="BD106" s="2"/>
      <c r="BE106" s="2"/>
      <c r="BF106" s="2"/>
      <c r="BG106" s="2"/>
      <c r="BH106" s="2"/>
      <c r="BI106" s="2"/>
      <c r="BJ106" s="2"/>
      <c r="BK106" s="2"/>
      <c r="BL106" s="2"/>
      <c r="BM106" s="2"/>
      <c r="BN106" s="2"/>
      <c r="BO106" s="2"/>
      <c r="BP106" s="2"/>
      <c r="BQ106" s="2"/>
      <c r="BR106" s="2"/>
      <c r="BT106" s="158">
        <f>IF(E106&gt;'Anketa-2014'!E106,0,IF(E106&lt;'Anketa-2014'!E106,0,IF(E106='Anketa-2014'!E106, 1)))</f>
        <v>1</v>
      </c>
    </row>
  </sheetData>
  <sheetProtection password="A0A2" sheet="1" objects="1" scenarios="1"/>
  <protectedRanges>
    <protectedRange sqref="E103:E106" name="Диапазон1"/>
  </protectedRanges>
  <mergeCells count="93">
    <mergeCell ref="I16:J16"/>
    <mergeCell ref="I17:J17"/>
    <mergeCell ref="A1:R1"/>
    <mergeCell ref="C4:F4"/>
    <mergeCell ref="L10:R11"/>
    <mergeCell ref="A10:H11"/>
    <mergeCell ref="I10:J11"/>
    <mergeCell ref="O8:Q8"/>
    <mergeCell ref="A8:B8"/>
    <mergeCell ref="I8:J8"/>
    <mergeCell ref="F8:G8"/>
    <mergeCell ref="A2:C2"/>
    <mergeCell ref="D2:R2"/>
    <mergeCell ref="A6:R6"/>
    <mergeCell ref="L4:R4"/>
    <mergeCell ref="H4:J4"/>
    <mergeCell ref="I18:J18"/>
    <mergeCell ref="I19:J19"/>
    <mergeCell ref="I20:J20"/>
    <mergeCell ref="I21:J21"/>
    <mergeCell ref="I39:J39"/>
    <mergeCell ref="I22:J22"/>
    <mergeCell ref="I23:J23"/>
    <mergeCell ref="I24:J24"/>
    <mergeCell ref="I25:J25"/>
    <mergeCell ref="I26:J26"/>
    <mergeCell ref="I27:J27"/>
    <mergeCell ref="I28:J28"/>
    <mergeCell ref="I29:J29"/>
    <mergeCell ref="I30:J30"/>
    <mergeCell ref="I31:J31"/>
    <mergeCell ref="I32:J32"/>
    <mergeCell ref="A106:D106"/>
    <mergeCell ref="I12:J12"/>
    <mergeCell ref="I13:J13"/>
    <mergeCell ref="I14:J14"/>
    <mergeCell ref="I15:J15"/>
    <mergeCell ref="A76:J77"/>
    <mergeCell ref="A83:J84"/>
    <mergeCell ref="A88:J89"/>
    <mergeCell ref="A92:J93"/>
    <mergeCell ref="A96:E97"/>
    <mergeCell ref="F96:J97"/>
    <mergeCell ref="B61:E62"/>
    <mergeCell ref="G61:J62"/>
    <mergeCell ref="I52:J52"/>
    <mergeCell ref="I53:J53"/>
    <mergeCell ref="A100:E100"/>
    <mergeCell ref="A103:D103"/>
    <mergeCell ref="A104:D104"/>
    <mergeCell ref="A105:D105"/>
    <mergeCell ref="I43:J43"/>
    <mergeCell ref="I44:J44"/>
    <mergeCell ref="I45:J45"/>
    <mergeCell ref="I54:J54"/>
    <mergeCell ref="I55:J55"/>
    <mergeCell ref="I56:J56"/>
    <mergeCell ref="I57:J57"/>
    <mergeCell ref="A102:E102"/>
    <mergeCell ref="A101:E101"/>
    <mergeCell ref="H100:H101"/>
    <mergeCell ref="H103:H104"/>
    <mergeCell ref="H105:H106"/>
    <mergeCell ref="I66:J66"/>
    <mergeCell ref="F66:G66"/>
    <mergeCell ref="A64:J65"/>
    <mergeCell ref="I58:J58"/>
    <mergeCell ref="I59:J59"/>
    <mergeCell ref="I37:J37"/>
    <mergeCell ref="I38:J38"/>
    <mergeCell ref="I40:J40"/>
    <mergeCell ref="I41:J41"/>
    <mergeCell ref="I42:J42"/>
    <mergeCell ref="I33:J33"/>
    <mergeCell ref="L61:R62"/>
    <mergeCell ref="L64:L66"/>
    <mergeCell ref="I51:J51"/>
    <mergeCell ref="I34:J34"/>
    <mergeCell ref="I46:J46"/>
    <mergeCell ref="I47:J47"/>
    <mergeCell ref="I48:J48"/>
    <mergeCell ref="I49:J49"/>
    <mergeCell ref="I50:J50"/>
    <mergeCell ref="I35:J35"/>
    <mergeCell ref="I36:J36"/>
    <mergeCell ref="L76:L77"/>
    <mergeCell ref="L83:L84"/>
    <mergeCell ref="L88:L89"/>
    <mergeCell ref="L92:L93"/>
    <mergeCell ref="N64:R65"/>
    <mergeCell ref="N67:R69"/>
    <mergeCell ref="N71:R73"/>
    <mergeCell ref="N76:R83"/>
  </mergeCells>
  <conditionalFormatting sqref="F90 F94 F78:F81 F85:F86 F67:F74 F12:F60">
    <cfRule type="expression" dxfId="23" priority="3" stopIfTrue="1">
      <formula>IF(AND($F12&gt;$G12,ISNUMBER($F12),ISNUMBER($G12)),1,0)</formula>
    </cfRule>
  </conditionalFormatting>
  <conditionalFormatting sqref="G90 G94 G78:G81 G85:G86 G67:G74 G12:G60">
    <cfRule type="expression" dxfId="22" priority="4" stopIfTrue="1">
      <formula>IF(AND($F12&lt;$G12,ISNUMBER($F12),ISNUMBER($G12)),1,0)</formula>
    </cfRule>
  </conditionalFormatting>
  <conditionalFormatting sqref="L20:R20 L14:R14 L50:R50 L26:R26 L32:R32 L38:R38 L44:R44 L56:R56">
    <cfRule type="expression" dxfId="21" priority="5" stopIfTrue="1">
      <formula>IF(SUM($M14:$M17)=12,1,0)</formula>
    </cfRule>
  </conditionalFormatting>
  <conditionalFormatting sqref="L21:R21 L15:R15 L51:R51 L27:R27 L33:R33 L39:R39 L45:R45 L57:R57">
    <cfRule type="expression" dxfId="20" priority="6" stopIfTrue="1">
      <formula>IF(SUM($M14:$M17)=12,1,0)</formula>
    </cfRule>
  </conditionalFormatting>
  <conditionalFormatting sqref="L23:R23 L17:R17 L53:R53 L29:R29 L35:R35 L41:R41 L47:R47 L59:R60">
    <cfRule type="expression" dxfId="19" priority="7" stopIfTrue="1">
      <formula>IF(SUM($M14:$M17)=12,1,0)</formula>
    </cfRule>
  </conditionalFormatting>
  <conditionalFormatting sqref="L16:R16 L22:R22 L28:R28 L34:R34 L40:R40 L46:R46 L52:R52 L58:R58">
    <cfRule type="expression" dxfId="18" priority="8" stopIfTrue="1">
      <formula>IF(SUM($M14:$M17)=12,1,0)</formula>
    </cfRule>
  </conditionalFormatting>
  <conditionalFormatting sqref="E12:E60">
    <cfRule type="expression" dxfId="17" priority="9" stopIfTrue="1">
      <formula>IF(AND($F12&gt;$G12,ISNUMBER($F12),ISNUMBER($G12)),1,0)</formula>
    </cfRule>
    <cfRule type="expression" dxfId="16" priority="10" stopIfTrue="1">
      <formula>IF(AND($F12&lt;$G12,ISNUMBER($F12),ISNUMBER($G12)),1,0)</formula>
    </cfRule>
    <cfRule type="expression" dxfId="15" priority="11" stopIfTrue="1">
      <formula>IF(AND($F12=$G12,ISNUMBER($F12),ISNUMBER($G12)),1,0)</formula>
    </cfRule>
  </conditionalFormatting>
  <conditionalFormatting sqref="H12:H60">
    <cfRule type="expression" dxfId="14" priority="12" stopIfTrue="1">
      <formula>IF(AND($F12&lt;$G12,ISNUMBER($F12),ISNUMBER($G12)),1,0)</formula>
    </cfRule>
    <cfRule type="expression" dxfId="13" priority="13" stopIfTrue="1">
      <formula>IF(AND($F12&gt;$G12,ISNUMBER($F12),ISNUMBER($G12)),1,0)</formula>
    </cfRule>
    <cfRule type="expression" dxfId="12" priority="14" stopIfTrue="1">
      <formula>IF(AND($F12=$G12,ISNUMBER($F12),ISNUMBER($G12)),1,0)</formula>
    </cfRule>
  </conditionalFormatting>
  <conditionalFormatting sqref="I67:I74 I78:I81 I85:I86 I90 I94">
    <cfRule type="expression" dxfId="11" priority="15" stopIfTrue="1">
      <formula>IF(AND($I67&gt;$J67,ISNUMBER($I67),ISNUMBER($J67)),1,0)</formula>
    </cfRule>
  </conditionalFormatting>
  <conditionalFormatting sqref="J67:J74 J78:J81 J85:J86 J90 J94">
    <cfRule type="expression" dxfId="10" priority="16" stopIfTrue="1">
      <formula>IF(AND($I67&lt;$J67,ISNUMBER($I67),ISNUMBER($J67)),1,0)</formula>
    </cfRule>
  </conditionalFormatting>
  <conditionalFormatting sqref="F66">
    <cfRule type="expression" dxfId="9" priority="2" stopIfTrue="1">
      <formula>IF(AND($F66&gt;$G66,ISNUMBER($F66),ISNUMBER($G66)),1,0)</formula>
    </cfRule>
  </conditionalFormatting>
  <conditionalFormatting sqref="I66">
    <cfRule type="expression" dxfId="8" priority="1" stopIfTrue="1">
      <formula>IF(AND($F66&gt;$G66,ISNUMBER($F66),ISNUMBER($G66)),1,0)</formula>
    </cfRule>
  </conditionalFormatting>
  <conditionalFormatting sqref="E78:E81 E85:E86 E90 E94 E70:E74">
    <cfRule type="expression" dxfId="7" priority="146" stopIfTrue="1">
      <formula>IF($E70=$V67,1,0)</formula>
    </cfRule>
    <cfRule type="expression" dxfId="6" priority="147" stopIfTrue="1">
      <formula>IF($H70=$V67,1,0)</formula>
    </cfRule>
  </conditionalFormatting>
  <conditionalFormatting sqref="H78:H81 H85:H86 H90 H94 H70:H74">
    <cfRule type="expression" dxfId="5" priority="156" stopIfTrue="1">
      <formula>IF($H70=$V67,1,0)</formula>
    </cfRule>
    <cfRule type="expression" dxfId="4" priority="157" stopIfTrue="1">
      <formula>IF($E70=$V67,1,0)</formula>
    </cfRule>
  </conditionalFormatting>
  <conditionalFormatting sqref="E67:E69">
    <cfRule type="expression" dxfId="3" priority="166" stopIfTrue="1">
      <formula>IF($E67=$V63,1,0)</formula>
    </cfRule>
    <cfRule type="expression" dxfId="2" priority="167" stopIfTrue="1">
      <formula>IF($H67=$V63,1,0)</formula>
    </cfRule>
  </conditionalFormatting>
  <conditionalFormatting sqref="H67:H69">
    <cfRule type="expression" dxfId="1" priority="168" stopIfTrue="1">
      <formula>IF($H67=$V63,1,0)</formula>
    </cfRule>
    <cfRule type="expression" dxfId="0" priority="169" stopIfTrue="1">
      <formula>IF($E67=$V63,1,0)</formula>
    </cfRule>
  </conditionalFormatting>
  <dataValidations count="3">
    <dataValidation type="list" allowBlank="1" showInputMessage="1" showErrorMessage="1" sqref="I94:J94 I67:J74 I78:J81 I85:J86 I90:J90">
      <formula1>"0,1,2,3,4,5,6,7,8,9,10,11,12,13,14,15,16,17,18,19,20"</formula1>
    </dataValidation>
    <dataValidation type="list" allowBlank="1" showInputMessage="1" showErrorMessage="1" sqref="F67:G74 F78:G81 F85:G86 F90:G90 F94:G94 F12:G60">
      <formula1>"0,1,2,3,4,5,6,7,8,9"</formula1>
    </dataValidation>
    <dataValidation type="list" allowBlank="1" showInputMessage="1" showErrorMessage="1" sqref="E105">
      <formula1>Жамоалар</formula1>
    </dataValidation>
  </dataValidations>
  <hyperlinks>
    <hyperlink ref="L10:R10" r:id="rId1" tooltip="Excel Schedule" display="Home Page: www.excely.com"/>
    <hyperlink ref="L10:R11" r:id="rId2" tooltip="World Cup 2014 Schedule in Excel" display="Жадвал муаллифи: Хушнуд Худайбердиев"/>
    <hyperlink ref="N67:R69" r:id="rId3" display="Xushnudbek.uz"/>
    <hyperlink ref="N71:R73" r:id="rId4" display="        Stadion.uz"/>
  </hyperlinks>
  <printOptions horizontalCentered="1"/>
  <pageMargins left="0.59055118110236204" right="0.59055118110236204" top="0.78740157480314998" bottom="0.78740157480314998" header="0.511811023622047" footer="0.511811023622047"/>
  <pageSetup paperSize="9" scale="66" orientation="portrait" r:id="rId5"/>
  <headerFooter alignWithMargins="0">
    <oddFooter>&amp;Cwww.excely.com (c) 2013</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9</vt:i4>
      </vt:variant>
    </vt:vector>
  </HeadingPairs>
  <TitlesOfParts>
    <vt:vector size="13" baseType="lpstr">
      <vt:lpstr>T</vt:lpstr>
      <vt:lpstr>Созламалар</vt:lpstr>
      <vt:lpstr>Anketa-2014</vt:lpstr>
      <vt:lpstr>Sizning natijangiz</vt:lpstr>
      <vt:lpstr>db_fifarank</vt:lpstr>
      <vt:lpstr>gmt_delta</vt:lpstr>
      <vt:lpstr>itype</vt:lpstr>
      <vt:lpstr>lang</vt:lpstr>
      <vt:lpstr>lang_list</vt:lpstr>
      <vt:lpstr>T</vt:lpstr>
      <vt:lpstr>Жамоалар</vt:lpstr>
      <vt:lpstr>'Anketa-2014'!Область_печати</vt:lpstr>
      <vt:lpstr>'Sizning natijangiz'!Область_печати</vt:lpstr>
    </vt:vector>
  </TitlesOfParts>
  <Company>Excely.com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 Cup 2010 Schedule</dc:title>
  <dc:creator>Denis Kozyr</dc:creator>
  <cp:lastModifiedBy>Xushnudbek</cp:lastModifiedBy>
  <cp:lastPrinted>2010-05-26T20:03:51Z</cp:lastPrinted>
  <dcterms:created xsi:type="dcterms:W3CDTF">2008-09-24T12:14:29Z</dcterms:created>
  <dcterms:modified xsi:type="dcterms:W3CDTF">2014-06-05T09:33:56Z</dcterms:modified>
</cp:coreProperties>
</file>