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5195" windowHeight="11520" firstSheet="1" activeTab="2"/>
  </bookViews>
  <sheets>
    <sheet name="T" sheetId="10" state="hidden" r:id="rId1"/>
    <sheet name="Settings" sheetId="9" r:id="rId2"/>
    <sheet name="Asian Cup 2015" sheetId="8" r:id="rId3"/>
  </sheets>
  <definedNames>
    <definedName name="A">Settings!$M$26:$M$29</definedName>
    <definedName name="B">Settings!$M$32:$M$35</definedName>
    <definedName name="C_group">Settings!$M$38:$M$41</definedName>
    <definedName name="cards_A_group">Settings!$M$26:$N$29</definedName>
    <definedName name="cards_B_group">Settings!$M$32:$N$35</definedName>
    <definedName name="cards_C_group">Settings!$M$38:$N$41</definedName>
    <definedName name="cards_D_group">Settings!$M$44:$N$47</definedName>
    <definedName name="D">Settings!$M$44:$M$47</definedName>
    <definedName name="db_fifarank">'Asian Cup 2015'!$AW$17:$AX$32</definedName>
    <definedName name="gmt_delta">Settings!$C$40</definedName>
    <definedName name="itype">Settings!$C$72</definedName>
    <definedName name="lang">Settings!$C$39</definedName>
    <definedName name="lang_list">T!$A$1:$C$1</definedName>
    <definedName name="T">T!$1:$1048576</definedName>
    <definedName name="_xlnm.Print_Area" localSheetId="2">'Asian Cup 2015'!$A$1:$T$75</definedName>
  </definedNames>
  <calcPr calcId="144525"/>
</workbook>
</file>

<file path=xl/calcChain.xml><?xml version="1.0" encoding="utf-8"?>
<calcChain xmlns="http://schemas.openxmlformats.org/spreadsheetml/2006/main">
  <c r="Z47" i="9" l="1"/>
  <c r="Y47" i="9"/>
  <c r="Z46" i="9"/>
  <c r="Y46" i="9"/>
  <c r="Z45" i="9"/>
  <c r="Y45" i="9"/>
  <c r="Z44" i="9"/>
  <c r="Y44" i="9"/>
  <c r="Z41" i="9"/>
  <c r="Y41" i="9"/>
  <c r="Z40" i="9"/>
  <c r="Y40" i="9"/>
  <c r="Z39" i="9"/>
  <c r="Y39" i="9"/>
  <c r="Z38" i="9"/>
  <c r="Y38" i="9"/>
  <c r="Z35" i="9"/>
  <c r="Y35" i="9"/>
  <c r="Z34" i="9"/>
  <c r="Y34" i="9"/>
  <c r="Z33" i="9"/>
  <c r="Y33" i="9"/>
  <c r="Z32" i="9"/>
  <c r="Y32" i="9"/>
  <c r="Z29" i="9"/>
  <c r="Z28" i="9"/>
  <c r="Z26" i="9"/>
  <c r="Z27" i="9"/>
  <c r="Y29" i="9"/>
  <c r="Y28" i="9"/>
  <c r="Y27" i="9"/>
  <c r="Y26" i="9"/>
  <c r="AA28" i="9" l="1"/>
  <c r="AC28" i="9" s="1"/>
  <c r="AA38" i="9"/>
  <c r="AC38" i="9" s="1"/>
  <c r="AA39" i="9"/>
  <c r="AC39" i="9" s="1"/>
  <c r="AA40" i="9"/>
  <c r="AC40" i="9" s="1"/>
  <c r="AA41" i="9"/>
  <c r="AC41" i="9" s="1"/>
  <c r="AA44" i="9"/>
  <c r="AC44" i="9" s="1"/>
  <c r="AA45" i="9"/>
  <c r="AC45" i="9" s="1"/>
  <c r="AA46" i="9"/>
  <c r="AC46" i="9" s="1"/>
  <c r="AA47" i="9"/>
  <c r="AC47" i="9" s="1"/>
  <c r="AA29" i="9"/>
  <c r="AC29" i="9" s="1"/>
  <c r="AA26" i="9"/>
  <c r="AC26" i="9" s="1"/>
  <c r="AA27" i="9"/>
  <c r="AC27" i="9" s="1"/>
  <c r="AA32" i="9"/>
  <c r="AC32" i="9" s="1"/>
  <c r="AA33" i="9"/>
  <c r="AC33" i="9" s="1"/>
  <c r="AA34" i="9"/>
  <c r="AC34" i="9" s="1"/>
  <c r="AA35" i="9"/>
  <c r="AC35" i="9" s="1"/>
  <c r="V57" i="8"/>
  <c r="V51" i="8"/>
  <c r="V59" i="8"/>
  <c r="V58" i="8"/>
  <c r="C72" i="9"/>
  <c r="AB32" i="9" l="1"/>
  <c r="AB38" i="9"/>
  <c r="AB44" i="9"/>
  <c r="AB26" i="9"/>
  <c r="R47" i="9"/>
  <c r="Q47" i="9"/>
  <c r="P47" i="9"/>
  <c r="O47" i="9"/>
  <c r="R46" i="9"/>
  <c r="Q46" i="9"/>
  <c r="P46" i="9"/>
  <c r="O46" i="9"/>
  <c r="R45" i="9"/>
  <c r="Q45" i="9"/>
  <c r="P45" i="9"/>
  <c r="O45" i="9"/>
  <c r="R44" i="9"/>
  <c r="Q44" i="9"/>
  <c r="P44" i="9"/>
  <c r="O44" i="9"/>
  <c r="R41" i="9"/>
  <c r="Q41" i="9"/>
  <c r="P41" i="9"/>
  <c r="O41" i="9"/>
  <c r="R40" i="9"/>
  <c r="Q40" i="9"/>
  <c r="P40" i="9"/>
  <c r="O40" i="9"/>
  <c r="R39" i="9"/>
  <c r="Q39" i="9"/>
  <c r="P39" i="9"/>
  <c r="O39" i="9"/>
  <c r="R38" i="9"/>
  <c r="Q38" i="9"/>
  <c r="P38" i="9"/>
  <c r="O38" i="9"/>
  <c r="R35" i="9"/>
  <c r="Q35" i="9"/>
  <c r="P35" i="9"/>
  <c r="O35" i="9"/>
  <c r="R34" i="9"/>
  <c r="Q34" i="9"/>
  <c r="P34" i="9"/>
  <c r="O34" i="9"/>
  <c r="R33" i="9"/>
  <c r="Q33" i="9"/>
  <c r="P33" i="9"/>
  <c r="O33" i="9"/>
  <c r="R32" i="9"/>
  <c r="Q32" i="9"/>
  <c r="P32" i="9"/>
  <c r="O32" i="9"/>
  <c r="O27" i="9"/>
  <c r="P27" i="9"/>
  <c r="Q27" i="9"/>
  <c r="R27" i="9"/>
  <c r="O28" i="9"/>
  <c r="P28" i="9"/>
  <c r="Q28" i="9"/>
  <c r="R28" i="9"/>
  <c r="O29" i="9"/>
  <c r="P29" i="9"/>
  <c r="Q29" i="9"/>
  <c r="R29" i="9"/>
  <c r="R26" i="9"/>
  <c r="Q26" i="9"/>
  <c r="P26" i="9"/>
  <c r="O26" i="9"/>
  <c r="S32" i="9" l="1"/>
  <c r="S33" i="9"/>
  <c r="T33" i="9" s="1"/>
  <c r="N33" i="9" s="1"/>
  <c r="S34" i="9"/>
  <c r="S35" i="9"/>
  <c r="T35" i="9" s="1"/>
  <c r="N35" i="9" s="1"/>
  <c r="S38" i="9"/>
  <c r="S39" i="9"/>
  <c r="T39" i="9" s="1"/>
  <c r="N39" i="9" s="1"/>
  <c r="S40" i="9"/>
  <c r="S41" i="9"/>
  <c r="T41" i="9" s="1"/>
  <c r="N41" i="9" s="1"/>
  <c r="S44" i="9"/>
  <c r="T44" i="9" s="1"/>
  <c r="N44" i="9" s="1"/>
  <c r="S45" i="9"/>
  <c r="T45" i="9" s="1"/>
  <c r="N45" i="9" s="1"/>
  <c r="S46" i="9"/>
  <c r="S47" i="9"/>
  <c r="T47" i="9" s="1"/>
  <c r="N47" i="9" s="1"/>
  <c r="K39" i="9"/>
  <c r="K41" i="9"/>
  <c r="K35" i="9"/>
  <c r="S26" i="9"/>
  <c r="S29" i="9"/>
  <c r="S27" i="9"/>
  <c r="S28" i="9"/>
  <c r="P12" i="8"/>
  <c r="K47" i="9" l="1"/>
  <c r="K46" i="9"/>
  <c r="T46" i="9"/>
  <c r="N46" i="9" s="1"/>
  <c r="K45" i="9"/>
  <c r="K40" i="9"/>
  <c r="T40" i="9"/>
  <c r="N40" i="9" s="1"/>
  <c r="K38" i="9"/>
  <c r="T38" i="9"/>
  <c r="N38" i="9" s="1"/>
  <c r="K33" i="9"/>
  <c r="K34" i="9"/>
  <c r="T34" i="9"/>
  <c r="N34" i="9" s="1"/>
  <c r="K32" i="9"/>
  <c r="T32" i="9"/>
  <c r="N32" i="9" s="1"/>
  <c r="K27" i="9"/>
  <c r="T27" i="9"/>
  <c r="N27" i="9" s="1"/>
  <c r="K28" i="9"/>
  <c r="T28" i="9"/>
  <c r="N28" i="9" s="1"/>
  <c r="K29" i="9"/>
  <c r="T29" i="9"/>
  <c r="N29" i="9" s="1"/>
  <c r="T26" i="9"/>
  <c r="N26" i="9" s="1"/>
  <c r="K26" i="9"/>
  <c r="K44" i="9"/>
  <c r="L44" i="9"/>
  <c r="W64" i="8"/>
  <c r="X60" i="8"/>
  <c r="V60" i="8"/>
  <c r="X59" i="8"/>
  <c r="V50" i="8"/>
  <c r="V49" i="8"/>
  <c r="C40" i="9"/>
  <c r="C39" i="9"/>
  <c r="N51" i="8" l="1"/>
  <c r="A45" i="8"/>
  <c r="H10" i="8"/>
  <c r="E7" i="8"/>
  <c r="E8" i="8"/>
  <c r="M7" i="8"/>
  <c r="P8" i="8"/>
  <c r="A14" i="8"/>
  <c r="E10" i="8"/>
  <c r="A9" i="8"/>
  <c r="P10" i="8"/>
  <c r="P7" i="8"/>
  <c r="I7" i="8"/>
  <c r="L35" i="9"/>
  <c r="L46" i="9"/>
  <c r="L45" i="9"/>
  <c r="L47" i="9"/>
  <c r="L32" i="9"/>
  <c r="L38" i="9"/>
  <c r="L40" i="9"/>
  <c r="L39" i="9"/>
  <c r="L41" i="9"/>
  <c r="L34" i="9"/>
  <c r="L33" i="9"/>
  <c r="B16" i="9"/>
  <c r="B10" i="9"/>
  <c r="U25" i="9"/>
  <c r="F22" i="9"/>
  <c r="F20" i="9"/>
  <c r="C20" i="9"/>
  <c r="F5" i="9"/>
  <c r="F23" i="9"/>
  <c r="F21" i="9"/>
  <c r="F19" i="9"/>
  <c r="B13" i="9"/>
  <c r="U45" i="9"/>
  <c r="U39" i="9"/>
  <c r="U33" i="9"/>
  <c r="U27" i="9"/>
  <c r="U44" i="9"/>
  <c r="U38" i="9"/>
  <c r="U32" i="9"/>
  <c r="U26" i="9"/>
  <c r="K43" i="9"/>
  <c r="I43" i="9"/>
  <c r="G43" i="9"/>
  <c r="J37" i="9"/>
  <c r="H37" i="9"/>
  <c r="K31" i="9"/>
  <c r="G31" i="9"/>
  <c r="I25" i="9"/>
  <c r="F47" i="8"/>
  <c r="J43" i="9"/>
  <c r="H43" i="9"/>
  <c r="K37" i="9"/>
  <c r="I37" i="9"/>
  <c r="G37" i="9"/>
  <c r="J31" i="9"/>
  <c r="H31" i="9"/>
  <c r="J25" i="9"/>
  <c r="H25" i="9"/>
  <c r="J47" i="8"/>
  <c r="I31" i="9"/>
  <c r="G25" i="9"/>
  <c r="F16" i="9"/>
  <c r="F15" i="9"/>
  <c r="F11" i="9"/>
  <c r="F9" i="9"/>
  <c r="F7" i="9"/>
  <c r="F12" i="9"/>
  <c r="F10" i="9"/>
  <c r="F8" i="9"/>
  <c r="W58" i="8"/>
  <c r="W51" i="8"/>
  <c r="H58" i="8" s="1"/>
  <c r="W57" i="8"/>
  <c r="U64" i="8"/>
  <c r="U57" i="8"/>
  <c r="D57" i="8" s="1"/>
  <c r="U51" i="8"/>
  <c r="U48" i="8"/>
  <c r="B48" i="8" s="1"/>
  <c r="U38" i="8"/>
  <c r="U35" i="8"/>
  <c r="D35" i="8" s="1"/>
  <c r="U33" i="8"/>
  <c r="U26" i="8"/>
  <c r="U65" i="8"/>
  <c r="C70" i="8" s="1"/>
  <c r="U58" i="8"/>
  <c r="U50" i="8"/>
  <c r="D50" i="8" s="1"/>
  <c r="U39" i="8"/>
  <c r="C39" i="8" s="1"/>
  <c r="U37" i="8"/>
  <c r="U34" i="8"/>
  <c r="U30" i="8"/>
  <c r="U28" i="8"/>
  <c r="B28" i="8" s="1"/>
  <c r="U29" i="8"/>
  <c r="B29" i="8" s="1"/>
  <c r="U20" i="8"/>
  <c r="D20" i="8" s="1"/>
  <c r="U25" i="8"/>
  <c r="D25" i="8" s="1"/>
  <c r="U22" i="8"/>
  <c r="C22" i="8" s="1"/>
  <c r="U24" i="8"/>
  <c r="U21" i="8"/>
  <c r="B21" i="8" s="1"/>
  <c r="U49" i="8"/>
  <c r="D49" i="8" s="1"/>
  <c r="U36" i="8"/>
  <c r="U31" i="8"/>
  <c r="U23" i="8"/>
  <c r="U32" i="8"/>
  <c r="D32" i="8" s="1"/>
  <c r="U27" i="8"/>
  <c r="C27" i="8" s="1"/>
  <c r="U19" i="8"/>
  <c r="D19" i="8" s="1"/>
  <c r="U18" i="8"/>
  <c r="U16" i="8"/>
  <c r="U17" i="8"/>
  <c r="B36" i="9"/>
  <c r="B34" i="9"/>
  <c r="B32" i="9"/>
  <c r="B30" i="9"/>
  <c r="B28" i="9"/>
  <c r="B26" i="9"/>
  <c r="B24" i="9"/>
  <c r="B22" i="9"/>
  <c r="B35" i="9"/>
  <c r="B33" i="9"/>
  <c r="B31" i="9"/>
  <c r="B29" i="9"/>
  <c r="B27" i="9"/>
  <c r="B25" i="9"/>
  <c r="B23" i="9"/>
  <c r="B21" i="9"/>
  <c r="AW32" i="8"/>
  <c r="AW30" i="8"/>
  <c r="AW28" i="8"/>
  <c r="AW26" i="8"/>
  <c r="AW24" i="8"/>
  <c r="AW22" i="8"/>
  <c r="AW20" i="8"/>
  <c r="AW18" i="8"/>
  <c r="L43" i="9"/>
  <c r="M47" i="9"/>
  <c r="M45" i="9"/>
  <c r="F47" i="9"/>
  <c r="F45" i="9"/>
  <c r="F43" i="9"/>
  <c r="M40" i="9"/>
  <c r="M38" i="9"/>
  <c r="F40" i="9"/>
  <c r="F38" i="9"/>
  <c r="M35" i="9"/>
  <c r="M33" i="9"/>
  <c r="F35" i="9"/>
  <c r="F33" i="9"/>
  <c r="F31" i="9"/>
  <c r="AW31" i="8"/>
  <c r="AW29" i="8"/>
  <c r="AW27" i="8"/>
  <c r="AW25" i="8"/>
  <c r="AW23" i="8"/>
  <c r="AW21" i="8"/>
  <c r="AW19" i="8"/>
  <c r="AW17" i="8"/>
  <c r="M46" i="9"/>
  <c r="M44" i="9"/>
  <c r="F46" i="9"/>
  <c r="F44" i="9"/>
  <c r="M41" i="9"/>
  <c r="M39" i="9"/>
  <c r="F41" i="9"/>
  <c r="F39" i="9"/>
  <c r="L37" i="9"/>
  <c r="L31" i="9"/>
  <c r="F37" i="9"/>
  <c r="M34" i="9"/>
  <c r="M32" i="9"/>
  <c r="F34" i="9"/>
  <c r="F32" i="9"/>
  <c r="L29" i="9"/>
  <c r="L28" i="9"/>
  <c r="L26" i="9"/>
  <c r="F29" i="9"/>
  <c r="F27" i="9"/>
  <c r="M29" i="9"/>
  <c r="F28" i="9"/>
  <c r="F26" i="9"/>
  <c r="M28" i="9"/>
  <c r="M26" i="9"/>
  <c r="M27" i="9"/>
  <c r="L27" i="9"/>
  <c r="K25" i="9"/>
  <c r="F25" i="9"/>
  <c r="L25" i="9"/>
  <c r="G15" i="9"/>
  <c r="G11" i="9"/>
  <c r="G9" i="9"/>
  <c r="G7" i="9"/>
  <c r="G16" i="9"/>
  <c r="G12" i="9"/>
  <c r="G10" i="9"/>
  <c r="G8" i="9"/>
  <c r="M14" i="8"/>
  <c r="O35" i="8"/>
  <c r="B7" i="9"/>
  <c r="B5" i="9"/>
  <c r="C37" i="8"/>
  <c r="B33" i="8"/>
  <c r="I27" i="8"/>
  <c r="I37" i="8"/>
  <c r="R17" i="8"/>
  <c r="I19" i="8"/>
  <c r="M23" i="8"/>
  <c r="AC24" i="8"/>
  <c r="AC31" i="8"/>
  <c r="AA60" i="8"/>
  <c r="H64" i="8" s="1"/>
  <c r="I16" i="8"/>
  <c r="M17" i="8"/>
  <c r="N23" i="8"/>
  <c r="AC23" i="8"/>
  <c r="P29" i="8"/>
  <c r="I32" i="8"/>
  <c r="I70" i="8"/>
  <c r="I64" i="8"/>
  <c r="I58" i="8"/>
  <c r="I57" i="8"/>
  <c r="A74" i="8"/>
  <c r="I49" i="8"/>
  <c r="AC37" i="8"/>
  <c r="AC35" i="8"/>
  <c r="R35" i="8"/>
  <c r="N35" i="8"/>
  <c r="AC32" i="8"/>
  <c r="S29" i="8"/>
  <c r="O29" i="8"/>
  <c r="I28" i="8"/>
  <c r="P23" i="8"/>
  <c r="I23" i="8"/>
  <c r="I22" i="8"/>
  <c r="I21" i="8"/>
  <c r="AC19" i="8"/>
  <c r="P17" i="8"/>
  <c r="I17" i="8"/>
  <c r="A68" i="8"/>
  <c r="AC38" i="8"/>
  <c r="P35" i="8"/>
  <c r="I35" i="8"/>
  <c r="I31" i="8"/>
  <c r="AC26" i="8"/>
  <c r="AC25" i="8"/>
  <c r="A62" i="8"/>
  <c r="I38" i="8"/>
  <c r="I36" i="8"/>
  <c r="Q35" i="8"/>
  <c r="M35" i="8"/>
  <c r="I34" i="8"/>
  <c r="I30" i="8"/>
  <c r="AC29" i="8"/>
  <c r="R29" i="8"/>
  <c r="N29" i="8"/>
  <c r="I26" i="8"/>
  <c r="I25" i="8"/>
  <c r="S23" i="8"/>
  <c r="O23" i="8"/>
  <c r="S17" i="8"/>
  <c r="O17" i="8"/>
  <c r="AC36" i="8"/>
  <c r="AC30" i="8"/>
  <c r="Q29" i="8"/>
  <c r="M29" i="8"/>
  <c r="I24" i="8"/>
  <c r="Q17" i="8"/>
  <c r="R23" i="8"/>
  <c r="I18" i="8"/>
  <c r="I20" i="8"/>
  <c r="I29" i="8"/>
  <c r="I33" i="8"/>
  <c r="I39" i="8"/>
  <c r="I48" i="8"/>
  <c r="A5" i="8"/>
  <c r="N17" i="8"/>
  <c r="AC17" i="8"/>
  <c r="AC18" i="8"/>
  <c r="AC20" i="8"/>
  <c r="Q23" i="8"/>
  <c r="D29" i="8"/>
  <c r="S35" i="8"/>
  <c r="I50" i="8"/>
  <c r="I51" i="8"/>
  <c r="A55" i="8"/>
  <c r="D64" i="8"/>
  <c r="B39" i="8"/>
  <c r="AA59" i="8"/>
  <c r="E64" i="8" s="1"/>
  <c r="W49" i="8"/>
  <c r="H57" i="8" s="1"/>
  <c r="W59" i="8"/>
  <c r="E70" i="8" s="1"/>
  <c r="V65" i="8" s="1"/>
  <c r="F74" i="8" s="1"/>
  <c r="B26" i="8"/>
  <c r="W50" i="8"/>
  <c r="E58" i="8" s="1"/>
  <c r="W60" i="8"/>
  <c r="H70" i="8" s="1"/>
  <c r="B50" i="8"/>
  <c r="W65" i="8" l="1"/>
  <c r="D39" i="8"/>
  <c r="AY18" i="8"/>
  <c r="AY20" i="8"/>
  <c r="AY17" i="8"/>
  <c r="AY19" i="8"/>
  <c r="B19" i="8"/>
  <c r="D22" i="8"/>
  <c r="AY30" i="8"/>
  <c r="AN30" i="8"/>
  <c r="AY26" i="8"/>
  <c r="AN26" i="8"/>
  <c r="AY38" i="8"/>
  <c r="AN38" i="8"/>
  <c r="AY35" i="8"/>
  <c r="AN35" i="8"/>
  <c r="AY23" i="8"/>
  <c r="AN23" i="8"/>
  <c r="AY24" i="8"/>
  <c r="AN24" i="8"/>
  <c r="AN18" i="8"/>
  <c r="AN17" i="8"/>
  <c r="AN20" i="8"/>
  <c r="AY36" i="8"/>
  <c r="AN36" i="8"/>
  <c r="AY29" i="8"/>
  <c r="AN29" i="8"/>
  <c r="AY25" i="8"/>
  <c r="AN25" i="8"/>
  <c r="AY32" i="8"/>
  <c r="AN32" i="8"/>
  <c r="AY37" i="8"/>
  <c r="AN37" i="8"/>
  <c r="AY31" i="8"/>
  <c r="AN31" i="8"/>
  <c r="AN19" i="8"/>
  <c r="C29" i="8"/>
  <c r="H24" i="8"/>
  <c r="E23" i="8"/>
  <c r="V23" i="8" s="1"/>
  <c r="E36" i="8"/>
  <c r="V36" i="8" s="1"/>
  <c r="H19" i="8"/>
  <c r="E25" i="8"/>
  <c r="V25" i="8" s="1"/>
  <c r="H37" i="8"/>
  <c r="E39" i="8"/>
  <c r="V39" i="8" s="1"/>
  <c r="E37" i="8"/>
  <c r="V37" i="8" s="1"/>
  <c r="W37" i="8" s="1"/>
  <c r="E24" i="8"/>
  <c r="V24" i="8" s="1"/>
  <c r="W24" i="8" s="1"/>
  <c r="H36" i="8"/>
  <c r="E26" i="8"/>
  <c r="V26" i="8" s="1"/>
  <c r="H39" i="8"/>
  <c r="E38" i="8"/>
  <c r="V38" i="8" s="1"/>
  <c r="H27" i="8"/>
  <c r="H34" i="8"/>
  <c r="B27" i="8"/>
  <c r="B22" i="8"/>
  <c r="D26" i="8"/>
  <c r="C50" i="8"/>
  <c r="C26" i="8"/>
  <c r="D27" i="8"/>
  <c r="C57" i="8"/>
  <c r="E33" i="8"/>
  <c r="V33" i="8" s="1"/>
  <c r="E28" i="8"/>
  <c r="V28" i="8" s="1"/>
  <c r="H23" i="8"/>
  <c r="E29" i="8"/>
  <c r="V29" i="8" s="1"/>
  <c r="H21" i="8"/>
  <c r="H20" i="8"/>
  <c r="C35" i="8"/>
  <c r="C28" i="8"/>
  <c r="B49" i="8"/>
  <c r="D37" i="8"/>
  <c r="B57" i="8"/>
  <c r="B35" i="8"/>
  <c r="C49" i="8"/>
  <c r="C21" i="8"/>
  <c r="D21" i="8"/>
  <c r="B37" i="8"/>
  <c r="E32" i="8"/>
  <c r="V32" i="8" s="1"/>
  <c r="H16" i="8"/>
  <c r="H32" i="8"/>
  <c r="H33" i="8"/>
  <c r="H18" i="8"/>
  <c r="E35" i="8"/>
  <c r="V35" i="8" s="1"/>
  <c r="H35" i="8"/>
  <c r="E17" i="8"/>
  <c r="V17" i="8" s="1"/>
  <c r="H26" i="8"/>
  <c r="E27" i="8"/>
  <c r="V27" i="8" s="1"/>
  <c r="W27" i="8" s="1"/>
  <c r="E19" i="8"/>
  <c r="V19" i="8" s="1"/>
  <c r="W19" i="8" s="1"/>
  <c r="C32" i="8"/>
  <c r="E34" i="8"/>
  <c r="V34" i="8" s="1"/>
  <c r="W34" i="8" s="1"/>
  <c r="H38" i="8"/>
  <c r="D28" i="8"/>
  <c r="C33" i="8"/>
  <c r="B32" i="8"/>
  <c r="C19" i="8"/>
  <c r="D33" i="8"/>
  <c r="B38" i="8"/>
  <c r="D38" i="8"/>
  <c r="C38" i="8"/>
  <c r="D23" i="8"/>
  <c r="B23" i="8"/>
  <c r="C24" i="8"/>
  <c r="B24" i="8"/>
  <c r="D24" i="8"/>
  <c r="D48" i="8"/>
  <c r="H29" i="8"/>
  <c r="D17" i="8"/>
  <c r="C17" i="8"/>
  <c r="B17" i="8"/>
  <c r="D58" i="8"/>
  <c r="B58" i="8"/>
  <c r="C58" i="8"/>
  <c r="C48" i="8"/>
  <c r="H30" i="8"/>
  <c r="B64" i="8"/>
  <c r="E22" i="8"/>
  <c r="V22" i="8" s="1"/>
  <c r="H25" i="8"/>
  <c r="C36" i="8"/>
  <c r="D36" i="8"/>
  <c r="B36" i="8"/>
  <c r="B51" i="8"/>
  <c r="D51" i="8"/>
  <c r="C51" i="8"/>
  <c r="C31" i="8"/>
  <c r="B31" i="8"/>
  <c r="D31" i="8"/>
  <c r="C18" i="8"/>
  <c r="B18" i="8"/>
  <c r="D18" i="8"/>
  <c r="D70" i="8"/>
  <c r="B70" i="8"/>
  <c r="C30" i="8"/>
  <c r="B30" i="8"/>
  <c r="D30" i="8"/>
  <c r="C23" i="8"/>
  <c r="E21" i="8"/>
  <c r="V21" i="8" s="1"/>
  <c r="W21" i="8" s="1"/>
  <c r="E20" i="8"/>
  <c r="V20" i="8" s="1"/>
  <c r="W20" i="8" s="1"/>
  <c r="B20" i="8"/>
  <c r="C20" i="8"/>
  <c r="C64" i="8"/>
  <c r="E31" i="8"/>
  <c r="V31" i="8" s="1"/>
  <c r="E18" i="8"/>
  <c r="V18" i="8" s="1"/>
  <c r="W18" i="8" s="1"/>
  <c r="H31" i="8"/>
  <c r="H28" i="8"/>
  <c r="E16" i="8"/>
  <c r="V16" i="8" s="1"/>
  <c r="H17" i="8"/>
  <c r="B34" i="8"/>
  <c r="D34" i="8"/>
  <c r="C34" i="8"/>
  <c r="B25" i="8"/>
  <c r="C25" i="8"/>
  <c r="C16" i="8"/>
  <c r="B16" i="8"/>
  <c r="D16" i="8"/>
  <c r="H22" i="8"/>
  <c r="E30" i="8"/>
  <c r="V30" i="8" s="1"/>
  <c r="W30" i="8" s="1"/>
  <c r="W22" i="8" l="1"/>
  <c r="W38" i="8"/>
  <c r="W26" i="8"/>
  <c r="W39" i="8"/>
  <c r="W36" i="8"/>
  <c r="W31" i="8"/>
  <c r="W35" i="8"/>
  <c r="W29" i="8"/>
  <c r="W28" i="8"/>
  <c r="W23" i="8"/>
  <c r="W25" i="8"/>
  <c r="AG23" i="8"/>
  <c r="AG38" i="8"/>
  <c r="AG30" i="8"/>
  <c r="AG32" i="8"/>
  <c r="AG25" i="8"/>
  <c r="AG36" i="8"/>
  <c r="AG17" i="8"/>
  <c r="AG20" i="8"/>
  <c r="AH20" i="8"/>
  <c r="AG24" i="8"/>
  <c r="AH24" i="8"/>
  <c r="AH23" i="8"/>
  <c r="AG35" i="8"/>
  <c r="AH35" i="8"/>
  <c r="AH38" i="8"/>
  <c r="AG26" i="8"/>
  <c r="AH26" i="8"/>
  <c r="AH30" i="8"/>
  <c r="AG18" i="8"/>
  <c r="AH18" i="8"/>
  <c r="AG31" i="8"/>
  <c r="AH31" i="8"/>
  <c r="AG37" i="8"/>
  <c r="AH37" i="8"/>
  <c r="AH32" i="8"/>
  <c r="AG19" i="8"/>
  <c r="AH19" i="8"/>
  <c r="AH25" i="8"/>
  <c r="AG29" i="8"/>
  <c r="AH29" i="8"/>
  <c r="AH36" i="8"/>
  <c r="AH17" i="8"/>
  <c r="W33" i="8"/>
  <c r="W16" i="8"/>
  <c r="W32" i="8"/>
  <c r="W17" i="8"/>
  <c r="AF20" i="8" l="1"/>
  <c r="AE20" i="8"/>
  <c r="AF17" i="8"/>
  <c r="AE36" i="8"/>
  <c r="AE25" i="8"/>
  <c r="AE32" i="8"/>
  <c r="AD31" i="8"/>
  <c r="AE30" i="8"/>
  <c r="AE38" i="8"/>
  <c r="AE23" i="8"/>
  <c r="AD20" i="8"/>
  <c r="AD17" i="8"/>
  <c r="AF29" i="8"/>
  <c r="AD25" i="8"/>
  <c r="AF19" i="8"/>
  <c r="AF37" i="8"/>
  <c r="AF31" i="8"/>
  <c r="AE18" i="8"/>
  <c r="AE26" i="8"/>
  <c r="AF35" i="8"/>
  <c r="AD23" i="8"/>
  <c r="AE24" i="8"/>
  <c r="AE17" i="8"/>
  <c r="AD36" i="8"/>
  <c r="AL36" i="8" s="1"/>
  <c r="AD29" i="8"/>
  <c r="AF25" i="8"/>
  <c r="AD19" i="8"/>
  <c r="AD32" i="8"/>
  <c r="AL32" i="8" s="1"/>
  <c r="AD37" i="8"/>
  <c r="AF18" i="8"/>
  <c r="AD30" i="8"/>
  <c r="AF26" i="8"/>
  <c r="AD38" i="8"/>
  <c r="AL38" i="8" s="1"/>
  <c r="AD35" i="8"/>
  <c r="AF23" i="8"/>
  <c r="AD24" i="8"/>
  <c r="AF36" i="8"/>
  <c r="AE29" i="8"/>
  <c r="AE19" i="8"/>
  <c r="AF32" i="8"/>
  <c r="AE37" i="8"/>
  <c r="AE31" i="8"/>
  <c r="AD18" i="8"/>
  <c r="AF30" i="8"/>
  <c r="AD26" i="8"/>
  <c r="AF38" i="8"/>
  <c r="AE35" i="8"/>
  <c r="AF24" i="8"/>
  <c r="AJ36" i="8"/>
  <c r="AJ29" i="8"/>
  <c r="AJ31" i="8"/>
  <c r="AJ17" i="8"/>
  <c r="AJ23" i="8"/>
  <c r="AJ32" i="8"/>
  <c r="AJ38" i="8"/>
  <c r="AG39" i="8"/>
  <c r="AG33" i="8"/>
  <c r="AJ20" i="8"/>
  <c r="AG27" i="8"/>
  <c r="AJ18" i="8"/>
  <c r="AJ37" i="8"/>
  <c r="AH33" i="8"/>
  <c r="AJ25" i="8"/>
  <c r="AJ35" i="8"/>
  <c r="AH21" i="8"/>
  <c r="AH39" i="8"/>
  <c r="AH27" i="8"/>
  <c r="AJ26" i="8"/>
  <c r="AG21" i="8"/>
  <c r="AJ30" i="8"/>
  <c r="AJ19" i="8"/>
  <c r="AJ24" i="8"/>
  <c r="AI32" i="8" l="1"/>
  <c r="AI36" i="8"/>
  <c r="AI38" i="8"/>
  <c r="AE21" i="8"/>
  <c r="AL20" i="8"/>
  <c r="AL19" i="8"/>
  <c r="AL31" i="8"/>
  <c r="AL37" i="8"/>
  <c r="AF27" i="8"/>
  <c r="AL18" i="8"/>
  <c r="AL25" i="8"/>
  <c r="AF39" i="8"/>
  <c r="AE33" i="8"/>
  <c r="AE39" i="8"/>
  <c r="AF33" i="8"/>
  <c r="AL26" i="8"/>
  <c r="AL29" i="8"/>
  <c r="AD33" i="8"/>
  <c r="AF21" i="8"/>
  <c r="AL17" i="8"/>
  <c r="AD21" i="8"/>
  <c r="AD27" i="8"/>
  <c r="AL23" i="8"/>
  <c r="AD39" i="8"/>
  <c r="AL35" i="8"/>
  <c r="AL30" i="8"/>
  <c r="AL24" i="8"/>
  <c r="AE27" i="8"/>
  <c r="AJ22" i="8"/>
  <c r="AJ21" i="8" s="1"/>
  <c r="AK19" i="8" s="1"/>
  <c r="AJ34" i="8"/>
  <c r="AJ33" i="8" s="1"/>
  <c r="AJ28" i="8"/>
  <c r="AJ27" i="8" s="1"/>
  <c r="AK23" i="8" s="1"/>
  <c r="AJ40" i="8"/>
  <c r="AJ39" i="8" s="1"/>
  <c r="X30" i="8" l="1"/>
  <c r="Y30" i="8" s="1"/>
  <c r="AI24" i="8"/>
  <c r="AI35" i="8"/>
  <c r="AI23" i="8"/>
  <c r="X34" i="8" s="1"/>
  <c r="AI29" i="8"/>
  <c r="AI25" i="8"/>
  <c r="AI31" i="8"/>
  <c r="AI20" i="8"/>
  <c r="AI30" i="8"/>
  <c r="X21" i="8" s="1"/>
  <c r="AI26" i="8"/>
  <c r="X26" i="8" s="1"/>
  <c r="AI18" i="8"/>
  <c r="AI37" i="8"/>
  <c r="X39" i="8" s="1"/>
  <c r="AI19" i="8"/>
  <c r="AI17" i="8"/>
  <c r="AL21" i="8"/>
  <c r="AL39" i="8"/>
  <c r="AL33" i="8"/>
  <c r="AL27" i="8"/>
  <c r="AK31" i="8"/>
  <c r="AK30" i="8"/>
  <c r="AK32" i="8"/>
  <c r="AK29" i="8"/>
  <c r="AK38" i="8"/>
  <c r="AK36" i="8"/>
  <c r="AK37" i="8"/>
  <c r="AK17" i="8"/>
  <c r="AK18" i="8"/>
  <c r="AK20" i="8"/>
  <c r="AK35" i="8"/>
  <c r="AK24" i="8"/>
  <c r="AK25" i="8"/>
  <c r="AK26" i="8"/>
  <c r="Z39" i="8" l="1"/>
  <c r="Y39" i="8"/>
  <c r="X22" i="8"/>
  <c r="Y22" i="8" s="1"/>
  <c r="X38" i="8"/>
  <c r="Z30" i="8"/>
  <c r="X29" i="8"/>
  <c r="Z29" i="8" s="1"/>
  <c r="X37" i="8"/>
  <c r="X20" i="8"/>
  <c r="Y20" i="8" s="1"/>
  <c r="X36" i="8"/>
  <c r="X27" i="8"/>
  <c r="Z27" i="8" s="1"/>
  <c r="X35" i="8"/>
  <c r="Y34" i="8"/>
  <c r="Z34" i="8"/>
  <c r="X23" i="8"/>
  <c r="Y23" i="8" s="1"/>
  <c r="X31" i="8"/>
  <c r="Y29" i="8"/>
  <c r="X28" i="8"/>
  <c r="Y26" i="8"/>
  <c r="Z26" i="8"/>
  <c r="Y21" i="8"/>
  <c r="Z21" i="8"/>
  <c r="X19" i="8"/>
  <c r="Y19" i="8" s="1"/>
  <c r="X33" i="8"/>
  <c r="Z33" i="8" s="1"/>
  <c r="X17" i="8"/>
  <c r="Y17" i="8" s="1"/>
  <c r="X18" i="8"/>
  <c r="Z18" i="8" s="1"/>
  <c r="AI28" i="8"/>
  <c r="AI27" i="8" s="1"/>
  <c r="X24" i="8"/>
  <c r="Y24" i="8" s="1"/>
  <c r="AI34" i="8"/>
  <c r="AI33" i="8" s="1"/>
  <c r="AI40" i="8"/>
  <c r="AI39" i="8" s="1"/>
  <c r="X25" i="8"/>
  <c r="X32" i="8"/>
  <c r="Y32" i="8" s="1"/>
  <c r="X16" i="8"/>
  <c r="AI22" i="8"/>
  <c r="AI21" i="8" s="1"/>
  <c r="Y33" i="8" l="1"/>
  <c r="Z22" i="8"/>
  <c r="Z20" i="8"/>
  <c r="Y38" i="8"/>
  <c r="Z38" i="8"/>
  <c r="Z37" i="8"/>
  <c r="Y37" i="8"/>
  <c r="Y27" i="8"/>
  <c r="Y36" i="8"/>
  <c r="Z36" i="8"/>
  <c r="Z35" i="8"/>
  <c r="Y35" i="8"/>
  <c r="Z23" i="8"/>
  <c r="Z31" i="8"/>
  <c r="Y31" i="8"/>
  <c r="Y28" i="8"/>
  <c r="Z28" i="8"/>
  <c r="Z19" i="8"/>
  <c r="Z24" i="8"/>
  <c r="Z17" i="8"/>
  <c r="Y18" i="8"/>
  <c r="AT38" i="8"/>
  <c r="AT37" i="8"/>
  <c r="AT36" i="8"/>
  <c r="AT35" i="8"/>
  <c r="AT32" i="8"/>
  <c r="AT31" i="8"/>
  <c r="AT30" i="8"/>
  <c r="AT29" i="8"/>
  <c r="AT26" i="8"/>
  <c r="AT25" i="8"/>
  <c r="AT24" i="8"/>
  <c r="AT23" i="8"/>
  <c r="AT20" i="8"/>
  <c r="AT19" i="8"/>
  <c r="AT18" i="8"/>
  <c r="AT17" i="8"/>
  <c r="AS38" i="8"/>
  <c r="AS37" i="8"/>
  <c r="AS36" i="8"/>
  <c r="AS35" i="8"/>
  <c r="AS32" i="8"/>
  <c r="AS31" i="8"/>
  <c r="AS30" i="8"/>
  <c r="AS29" i="8"/>
  <c r="AS26" i="8"/>
  <c r="AS25" i="8"/>
  <c r="AS24" i="8"/>
  <c r="AU24" i="8" s="1"/>
  <c r="AS23" i="8"/>
  <c r="AU23" i="8" s="1"/>
  <c r="AS20" i="8"/>
  <c r="AU20" i="8" s="1"/>
  <c r="AS19" i="8"/>
  <c r="AS18" i="8"/>
  <c r="AS17" i="8"/>
  <c r="Z32" i="8"/>
  <c r="AR38" i="8"/>
  <c r="AR36" i="8"/>
  <c r="AR32" i="8"/>
  <c r="AR30" i="8"/>
  <c r="AR26" i="8"/>
  <c r="AR24" i="8"/>
  <c r="AR20" i="8"/>
  <c r="AR18" i="8"/>
  <c r="AR37" i="8"/>
  <c r="AR31" i="8"/>
  <c r="AR25" i="8"/>
  <c r="AR19" i="8"/>
  <c r="AQ37" i="8"/>
  <c r="AQ31" i="8"/>
  <c r="AQ25" i="8"/>
  <c r="AQ19" i="8"/>
  <c r="AQ38" i="8"/>
  <c r="AQ36" i="8"/>
  <c r="AQ32" i="8"/>
  <c r="AQ30" i="8"/>
  <c r="AQ26" i="8"/>
  <c r="AQ24" i="8"/>
  <c r="AQ20" i="8"/>
  <c r="AQ18" i="8"/>
  <c r="AR35" i="8"/>
  <c r="AR29" i="8"/>
  <c r="AR23" i="8"/>
  <c r="AR17" i="8"/>
  <c r="AQ35" i="8"/>
  <c r="AQ29" i="8"/>
  <c r="AQ23" i="8"/>
  <c r="AQ17" i="8"/>
  <c r="Y16" i="8"/>
  <c r="Z16" i="8"/>
  <c r="Z25" i="8"/>
  <c r="Y25" i="8"/>
  <c r="AS21" i="8" l="1"/>
  <c r="AU31" i="8"/>
  <c r="AR33" i="8"/>
  <c r="AU38" i="8"/>
  <c r="AU29" i="8"/>
  <c r="AU36" i="8"/>
  <c r="AU18" i="8"/>
  <c r="AU26" i="8"/>
  <c r="AR27" i="8"/>
  <c r="AS27" i="8"/>
  <c r="AU35" i="8"/>
  <c r="AQ21" i="8"/>
  <c r="AU17" i="8"/>
  <c r="AU32" i="8"/>
  <c r="AU25" i="8"/>
  <c r="AT27" i="8"/>
  <c r="AQ39" i="8"/>
  <c r="AT39" i="8"/>
  <c r="AU19" i="8"/>
  <c r="AQ33" i="8"/>
  <c r="AT33" i="8"/>
  <c r="AQ27" i="8"/>
  <c r="AR21" i="8"/>
  <c r="AT21" i="8"/>
  <c r="AR39" i="8"/>
  <c r="AS39" i="8"/>
  <c r="AS33" i="8"/>
  <c r="AU37" i="8"/>
  <c r="AU30" i="8"/>
  <c r="AU27" i="8" l="1"/>
  <c r="AM24" i="8" s="1"/>
  <c r="AU39" i="8"/>
  <c r="AM35" i="8" s="1"/>
  <c r="AU21" i="8"/>
  <c r="AM18" i="8" s="1"/>
  <c r="AU33" i="8"/>
  <c r="AM32" i="8" s="1"/>
  <c r="AM23" i="8" l="1"/>
  <c r="AM25" i="8"/>
  <c r="AM38" i="8"/>
  <c r="AM37" i="8"/>
  <c r="AM36" i="8"/>
  <c r="AM26" i="8"/>
  <c r="AM19" i="8"/>
  <c r="AM17" i="8"/>
  <c r="AM20" i="8"/>
  <c r="AM30" i="8"/>
  <c r="AM29" i="8"/>
  <c r="AM31" i="8"/>
  <c r="AM27" i="8" l="1"/>
  <c r="AO24" i="8" s="1"/>
  <c r="AM21" i="8"/>
  <c r="AO18" i="8" s="1"/>
  <c r="AM39" i="8"/>
  <c r="AO35" i="8" s="1"/>
  <c r="AM33" i="8"/>
  <c r="AO32" i="8" s="1"/>
  <c r="AO23" i="8" l="1"/>
  <c r="AO36" i="8"/>
  <c r="AO20" i="8"/>
  <c r="AO31" i="8"/>
  <c r="AO37" i="8"/>
  <c r="AO17" i="8"/>
  <c r="AO38" i="8"/>
  <c r="AO19" i="8"/>
  <c r="AO29" i="8"/>
  <c r="AO25" i="8"/>
  <c r="AO26" i="8"/>
  <c r="AO30" i="8"/>
  <c r="AB35" i="8" l="1"/>
  <c r="AB19" i="8"/>
  <c r="AB17" i="8"/>
  <c r="AB20" i="8"/>
  <c r="AB23" i="8"/>
  <c r="AB18" i="8"/>
  <c r="AB24" i="8"/>
  <c r="AB32" i="8"/>
  <c r="AB37" i="8"/>
  <c r="AB31" i="8"/>
  <c r="AB38" i="8"/>
  <c r="AB25" i="8"/>
  <c r="AB36" i="8"/>
  <c r="AB29" i="8"/>
  <c r="AB30" i="8"/>
  <c r="AB26" i="8"/>
  <c r="R37" i="8" l="1"/>
  <c r="Q36" i="8"/>
  <c r="P36" i="8"/>
  <c r="O36" i="8"/>
  <c r="M24" i="8"/>
  <c r="AP23" i="8" s="1"/>
  <c r="E49" i="8" s="1"/>
  <c r="P39" i="8"/>
  <c r="R39" i="8"/>
  <c r="O39" i="8"/>
  <c r="S39" i="8" s="1"/>
  <c r="Q37" i="8"/>
  <c r="M38" i="8"/>
  <c r="P37" i="8"/>
  <c r="Q38" i="8"/>
  <c r="M19" i="8"/>
  <c r="AP18" i="8" s="1"/>
  <c r="H49" i="8" s="1"/>
  <c r="P24" i="8"/>
  <c r="M25" i="8"/>
  <c r="AP24" i="8" s="1"/>
  <c r="H48" i="8" s="1"/>
  <c r="Q24" i="8"/>
  <c r="R24" i="8"/>
  <c r="O38" i="8"/>
  <c r="R36" i="8"/>
  <c r="R38" i="8"/>
  <c r="M36" i="8"/>
  <c r="AP35" i="8" s="1"/>
  <c r="E51" i="8" s="1"/>
  <c r="R25" i="8"/>
  <c r="O25" i="8"/>
  <c r="P25" i="8"/>
  <c r="O24" i="8"/>
  <c r="Q25" i="8"/>
  <c r="P30" i="8"/>
  <c r="Q18" i="8"/>
  <c r="O18" i="8"/>
  <c r="M18" i="8"/>
  <c r="AP17" i="8" s="1"/>
  <c r="E48" i="8" s="1"/>
  <c r="V48" i="8" s="1"/>
  <c r="W48" i="8" s="1"/>
  <c r="E57" i="8" s="1"/>
  <c r="P18" i="8"/>
  <c r="R18" i="8"/>
  <c r="R27" i="8"/>
  <c r="R19" i="8"/>
  <c r="M26" i="8"/>
  <c r="Q20" i="8"/>
  <c r="O30" i="8"/>
  <c r="S30" i="8" s="1"/>
  <c r="P19" i="8"/>
  <c r="R21" i="8"/>
  <c r="O21" i="8"/>
  <c r="O20" i="8"/>
  <c r="M20" i="8"/>
  <c r="P20" i="8"/>
  <c r="R20" i="8"/>
  <c r="M27" i="8"/>
  <c r="R32" i="8"/>
  <c r="O32" i="8"/>
  <c r="O19" i="8"/>
  <c r="S19" i="8" s="1"/>
  <c r="M21" i="8"/>
  <c r="P21" i="8"/>
  <c r="Q21" i="8"/>
  <c r="Q19" i="8"/>
  <c r="R30" i="8"/>
  <c r="O27" i="8"/>
  <c r="R26" i="8"/>
  <c r="Q26" i="8"/>
  <c r="R33" i="8"/>
  <c r="Q30" i="8"/>
  <c r="M30" i="8"/>
  <c r="AP29" i="8" s="1"/>
  <c r="E50" i="8" s="1"/>
  <c r="Q27" i="8"/>
  <c r="P26" i="8"/>
  <c r="O26" i="8"/>
  <c r="P27" i="8"/>
  <c r="P32" i="8"/>
  <c r="P33" i="8"/>
  <c r="P31" i="8"/>
  <c r="M32" i="8"/>
  <c r="Q39" i="8"/>
  <c r="N39" i="8" s="1"/>
  <c r="M39" i="8"/>
  <c r="M37" i="8"/>
  <c r="AP36" i="8" s="1"/>
  <c r="H50" i="8" s="1"/>
  <c r="O37" i="8"/>
  <c r="N37" i="8" s="1"/>
  <c r="P38" i="8"/>
  <c r="N38" i="8" s="1"/>
  <c r="O31" i="8"/>
  <c r="M31" i="8"/>
  <c r="AP30" i="8" s="1"/>
  <c r="H51" i="8" s="1"/>
  <c r="Q32" i="8"/>
  <c r="O33" i="8"/>
  <c r="R31" i="8"/>
  <c r="Q33" i="8"/>
  <c r="Q31" i="8"/>
  <c r="M33" i="8"/>
  <c r="N36" i="8" l="1"/>
  <c r="S36" i="8"/>
  <c r="S24" i="8"/>
  <c r="N24" i="8"/>
  <c r="S25" i="8"/>
  <c r="S38" i="8"/>
  <c r="N25" i="8"/>
  <c r="N30" i="8"/>
  <c r="N18" i="8"/>
  <c r="S18" i="8"/>
  <c r="N20" i="8"/>
  <c r="N19" i="8"/>
  <c r="N31" i="8"/>
  <c r="S31" i="8"/>
  <c r="S33" i="8"/>
  <c r="S27" i="8"/>
  <c r="S21" i="8"/>
  <c r="N21" i="8"/>
  <c r="S20" i="8"/>
  <c r="S32" i="8"/>
  <c r="N33" i="8"/>
  <c r="N32" i="8"/>
  <c r="S37" i="8"/>
  <c r="S26" i="8"/>
  <c r="N26" i="8"/>
  <c r="N27" i="8"/>
</calcChain>
</file>

<file path=xl/sharedStrings.xml><?xml version="1.0" encoding="utf-8"?>
<sst xmlns="http://schemas.openxmlformats.org/spreadsheetml/2006/main" count="438" uniqueCount="364">
  <si>
    <t>F-A</t>
  </si>
  <si>
    <t>FIFA</t>
  </si>
  <si>
    <t>Group Stage</t>
  </si>
  <si>
    <t>Групповой Раунд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</si>
  <si>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</si>
  <si>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</si>
  <si>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</si>
  <si>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</si>
  <si>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</si>
  <si>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</si>
  <si>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</si>
  <si>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</si>
  <si>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</si>
  <si>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</si>
  <si>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</si>
  <si>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</si>
  <si>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</si>
  <si>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</si>
  <si>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</si>
  <si>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</si>
  <si>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</si>
  <si>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</si>
  <si>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</si>
  <si>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</si>
  <si>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</si>
  <si>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</si>
  <si>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</si>
  <si>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</si>
  <si>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</si>
  <si>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</si>
  <si>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</si>
  <si>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</si>
  <si>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</si>
  <si>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</si>
  <si>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</si>
  <si>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</si>
  <si>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</si>
  <si>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</si>
  <si>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</si>
  <si>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</si>
  <si>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</si>
  <si>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</si>
  <si>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</si>
  <si>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Third-Place Play-Off</t>
  </si>
  <si>
    <t>GMT</t>
  </si>
  <si>
    <t>Jan</t>
  </si>
  <si>
    <t>Feb</t>
  </si>
  <si>
    <t>Apr</t>
  </si>
  <si>
    <t>Jun</t>
  </si>
  <si>
    <t>Jul</t>
  </si>
  <si>
    <t>Aug</t>
  </si>
  <si>
    <t>Sep</t>
  </si>
  <si>
    <t>Oct</t>
  </si>
  <si>
    <t>Nov</t>
  </si>
  <si>
    <t>GMT + 1:00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</si>
  <si>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</si>
  <si>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</si>
  <si>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</si>
  <si>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</si>
  <si>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</si>
  <si>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</si>
  <si>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</si>
  <si>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</si>
  <si>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</si>
  <si>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</si>
  <si>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</si>
  <si>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</si>
  <si>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</si>
  <si>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</si>
  <si>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</si>
  <si>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</si>
  <si>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</si>
  <si>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</si>
  <si>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</si>
  <si>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</si>
  <si>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</si>
  <si>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</si>
  <si>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</si>
  <si>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</si>
  <si>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</si>
  <si>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</si>
  <si>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</si>
  <si>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</si>
  <si>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</si>
  <si>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</si>
  <si>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</si>
  <si>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</si>
  <si>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</si>
  <si>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</si>
  <si>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</si>
  <si>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</si>
  <si>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</si>
  <si>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</si>
  <si>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</si>
  <si>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</si>
  <si>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</si>
  <si>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</si>
  <si>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</si>
  <si>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</si>
  <si>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</si>
  <si>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PNT</t>
  </si>
  <si>
    <t>ОЧКИ</t>
  </si>
  <si>
    <t>PL</t>
  </si>
  <si>
    <t>DRAW</t>
  </si>
  <si>
    <t>Н</t>
  </si>
  <si>
    <t>Australia</t>
  </si>
  <si>
    <t>Japan</t>
  </si>
  <si>
    <t>R</t>
  </si>
  <si>
    <t>Delta</t>
  </si>
  <si>
    <t>Round of 16</t>
  </si>
  <si>
    <t>1/8 Финала</t>
  </si>
  <si>
    <t>itype</t>
  </si>
  <si>
    <t>1A</t>
  </si>
  <si>
    <t>2A</t>
  </si>
  <si>
    <t>1B</t>
  </si>
  <si>
    <t>2B</t>
  </si>
  <si>
    <t>1C</t>
  </si>
  <si>
    <t>2C</t>
  </si>
  <si>
    <t>1D</t>
  </si>
  <si>
    <t>2D</t>
  </si>
  <si>
    <t>Австралия</t>
  </si>
  <si>
    <t>Япония</t>
  </si>
  <si>
    <t>М</t>
  </si>
  <si>
    <t>en</t>
  </si>
  <si>
    <t>ru</t>
  </si>
  <si>
    <t>Южная Корея</t>
  </si>
  <si>
    <t>Iran</t>
  </si>
  <si>
    <t>Иран</t>
  </si>
  <si>
    <t>Гуруҳ босқичи</t>
  </si>
  <si>
    <t>Нимчорак финал</t>
  </si>
  <si>
    <t>Чорак финал</t>
  </si>
  <si>
    <t>Ярим финал</t>
  </si>
  <si>
    <t>Гуруҳ</t>
  </si>
  <si>
    <t>Ў</t>
  </si>
  <si>
    <t>Ю</t>
  </si>
  <si>
    <t>Д</t>
  </si>
  <si>
    <t>Очколар</t>
  </si>
  <si>
    <t>Якш</t>
  </si>
  <si>
    <t>Душ</t>
  </si>
  <si>
    <t>Сеш</t>
  </si>
  <si>
    <t>Чор</t>
  </si>
  <si>
    <t>Пай</t>
  </si>
  <si>
    <t>Жума</t>
  </si>
  <si>
    <t>Шанба</t>
  </si>
  <si>
    <t>Жамоа</t>
  </si>
  <si>
    <t>Жанубий Корея</t>
  </si>
  <si>
    <t>Эрон</t>
  </si>
  <si>
    <t>Uzbek</t>
  </si>
  <si>
    <t>No</t>
  </si>
  <si>
    <t>Июнь</t>
  </si>
  <si>
    <t>Июль</t>
  </si>
  <si>
    <t>Тил</t>
  </si>
  <si>
    <t>Ёзги вақт</t>
  </si>
  <si>
    <t>GTM-Вақти</t>
  </si>
  <si>
    <t>Минутлардаги фарқ</t>
  </si>
  <si>
    <t>Созламалар</t>
  </si>
  <si>
    <t>#1 қоида</t>
  </si>
  <si>
    <t>#2 қоида</t>
  </si>
  <si>
    <t>#3 қоида</t>
  </si>
  <si>
    <t>#4 қоида</t>
  </si>
  <si>
    <t>#5 қоида</t>
  </si>
  <si>
    <t>FIFA Рейтинги</t>
  </si>
  <si>
    <t>Асосий вақт</t>
  </si>
  <si>
    <t>Қўш. вақт</t>
  </si>
  <si>
    <t>Тўп. нисб.</t>
  </si>
  <si>
    <t>3-ўрин учун баҳс</t>
  </si>
  <si>
    <t>Uzbekistan</t>
  </si>
  <si>
    <t>Узбекистан</t>
  </si>
  <si>
    <t>Ўзбекистон</t>
  </si>
  <si>
    <t>Хитой</t>
  </si>
  <si>
    <t>South Korea</t>
  </si>
  <si>
    <t>Oman</t>
  </si>
  <si>
    <t>Kuwait</t>
  </si>
  <si>
    <t>Saudi Arabia</t>
  </si>
  <si>
    <t>China PR</t>
  </si>
  <si>
    <t>North Korea</t>
  </si>
  <si>
    <t>UAE</t>
  </si>
  <si>
    <t>Qatar</t>
  </si>
  <si>
    <t>Bahrain</t>
  </si>
  <si>
    <t>Jordan</t>
  </si>
  <si>
    <t>Iraq</t>
  </si>
  <si>
    <t>Palestine</t>
  </si>
  <si>
    <t>Кувейт</t>
  </si>
  <si>
    <t>С.Аравия</t>
  </si>
  <si>
    <t>Китай</t>
  </si>
  <si>
    <t>ОАЭ</t>
  </si>
  <si>
    <t>Катар</t>
  </si>
  <si>
    <t>Бахрейн</t>
  </si>
  <si>
    <t>Иордания</t>
  </si>
  <si>
    <t>Ирак</t>
  </si>
  <si>
    <t>Уммон</t>
  </si>
  <si>
    <t>С.Арабистони</t>
  </si>
  <si>
    <t>Шимолий Корея</t>
  </si>
  <si>
    <t>БАА</t>
  </si>
  <si>
    <t>Қатар</t>
  </si>
  <si>
    <t>Баҳрайн</t>
  </si>
  <si>
    <t>Ироқ</t>
  </si>
  <si>
    <t>Фаластин</t>
  </si>
  <si>
    <t>Melbourne</t>
  </si>
  <si>
    <t>Canberra</t>
  </si>
  <si>
    <t>Sydney</t>
  </si>
  <si>
    <t>Brisbane</t>
  </si>
  <si>
    <t>Newcastle</t>
  </si>
  <si>
    <t>Канберра</t>
  </si>
  <si>
    <t>Сидней</t>
  </si>
  <si>
    <t>uz</t>
  </si>
  <si>
    <t>W25</t>
  </si>
  <si>
    <t>W26</t>
  </si>
  <si>
    <t>W27</t>
  </si>
  <si>
    <t>W28</t>
  </si>
  <si>
    <t>L29</t>
  </si>
  <si>
    <t>L30</t>
  </si>
  <si>
    <t>W29</t>
  </si>
  <si>
    <t>W30</t>
  </si>
  <si>
    <t>2015 йилги Осиё Кубоги соҳиби</t>
  </si>
  <si>
    <t>Winner Asian Cup 2015</t>
  </si>
  <si>
    <t>Обладатель Кубка Азии 2015</t>
  </si>
  <si>
    <t>2015 AFC Asian Cup Final Tournament Schedule</t>
  </si>
  <si>
    <t>Расписание Игр Финальной Стадии Кубка Азии по Футболу 2015</t>
  </si>
  <si>
    <t>Футбол бўйича 2015 йилги Осиё Кубоги финал босқичи ўйинлари жадвали</t>
  </si>
  <si>
    <t>Сариқ ва қизил карточкалар бўйича ҳисоб-китоб</t>
  </si>
  <si>
    <t>Ўзаро ўйинлардаги тўплар нисбати</t>
  </si>
  <si>
    <t>Ўзаро ўйинларда урилган голлар сони</t>
  </si>
  <si>
    <t>Гуруҳнинг барча ўйинлардаги тўплар нисбати</t>
  </si>
  <si>
    <t>Гуруҳнинг барча ўйинларда урилган голлар сони</t>
  </si>
  <si>
    <t>#6 қоида</t>
  </si>
  <si>
    <t>#7 қоида</t>
  </si>
  <si>
    <t>#8 қоида</t>
  </si>
  <si>
    <t>1-5 қоидалар бўйича бир хил натижа кўрсатган икки жамоа сўнги ўйинда ўзаро куч синашаётган бўлса, у ҳолда пенальтилар серияси белгиланади</t>
  </si>
  <si>
    <t>Қуръа ташланади</t>
  </si>
  <si>
    <t>Settings</t>
  </si>
  <si>
    <t>Настройки</t>
  </si>
  <si>
    <t>Language</t>
  </si>
  <si>
    <t>Язык</t>
  </si>
  <si>
    <t>Greater number of goals scored in the group matches between the teams concerned</t>
  </si>
  <si>
    <t>Goal difference resulting from the group matches between the teams concerned</t>
  </si>
  <si>
    <t>Goal difference in all the group matches</t>
  </si>
  <si>
    <t>Greater number of goals scored in all the group matches</t>
  </si>
  <si>
    <t>Penalty shoot-out if only two teams are involved and they are both on the field of play</t>
  </si>
  <si>
    <t>Drawing of lots</t>
  </si>
  <si>
    <t>Fewer score calculated according to the number of yellow and red cards in the group matches</t>
  </si>
  <si>
    <t>Ўзаро ўйинлардаги очколар сони</t>
  </si>
  <si>
    <t>Greater number of points obtained in the group matches between the teams concerned</t>
  </si>
  <si>
    <t>Большее количество забитых мячей в матчах группового этапа между собой</t>
  </si>
  <si>
    <t>Лучшая разница забитых и пропущенных мячей в матчах группового этапа между собой</t>
  </si>
  <si>
    <t>Большее количество очков, набранных в матчах группового этапа между собой</t>
  </si>
  <si>
    <t>Лучшая разница забитых и пропущенных мячей во всех матчах группового этапа</t>
  </si>
  <si>
    <t>Большее количество забитых мячей во всех матчах группового этапа</t>
  </si>
  <si>
    <t>Победа в серии пенальти, которая проводится в том случае, если две команды имеют равные показатели по пунктам 1—5 и встречаются между собой в последнем туре</t>
  </si>
  <si>
    <t>Гуруҳ ўйинларидаги сариқ ва қизил карточкалар сонининг камлиги</t>
  </si>
  <si>
    <t>Меньшее количество желт. и красн. карточек, полученных во всех матчах группового этапа</t>
  </si>
  <si>
    <t>Гуруҳ босқичи қоидаси (икки ёки ундан ортиқ жамоанинг очколари бир хил бўлса)</t>
  </si>
  <si>
    <t>Оман</t>
  </si>
  <si>
    <t>КНДР</t>
  </si>
  <si>
    <t>Палестина</t>
  </si>
  <si>
    <t>Сариқ карточка</t>
  </si>
  <si>
    <t>Қизил карточка</t>
  </si>
  <si>
    <t>Ўрин</t>
  </si>
  <si>
    <t>Доп. врм.</t>
  </si>
  <si>
    <t>Осн. врм.</t>
  </si>
  <si>
    <t>Место</t>
  </si>
  <si>
    <t>Pos.</t>
  </si>
  <si>
    <t>Брисбен</t>
  </si>
  <si>
    <t>Author: www.xushnudbek.uz</t>
  </si>
  <si>
    <t>Автор: www.xushnudbek.uz</t>
  </si>
  <si>
    <t>2-сариқ</t>
  </si>
  <si>
    <r>
      <rPr>
        <b/>
        <sz val="10"/>
        <rFont val="Calibri"/>
        <family val="2"/>
        <charset val="204"/>
      </rPr>
      <t xml:space="preserve">1-устун: </t>
    </r>
    <r>
      <rPr>
        <sz val="10"/>
        <rFont val="Calibri"/>
        <family val="2"/>
        <charset val="204"/>
      </rPr>
      <t xml:space="preserve"> Жамоа ўйинчилари олган сариқ карточкалар сони</t>
    </r>
  </si>
  <si>
    <r>
      <rPr>
        <b/>
        <sz val="10"/>
        <rFont val="Calibri"/>
        <family val="2"/>
        <charset val="204"/>
      </rPr>
      <t>2-устун:</t>
    </r>
    <r>
      <rPr>
        <sz val="10"/>
        <rFont val="Calibri"/>
        <family val="2"/>
        <charset val="204"/>
      </rPr>
      <t xml:space="preserve"> Қизил карточкага айланган иккинчи сариқ карточкалар сони</t>
    </r>
  </si>
  <si>
    <r>
      <rPr>
        <b/>
        <sz val="10"/>
        <rFont val="Calibri"/>
        <family val="2"/>
        <charset val="204"/>
      </rPr>
      <t xml:space="preserve">3-устун: </t>
    </r>
    <r>
      <rPr>
        <sz val="10"/>
        <rFont val="Calibri"/>
        <family val="2"/>
        <charset val="204"/>
      </rPr>
      <t>Тўғридан-тўғри берилган қизил карточкалар сони</t>
    </r>
  </si>
  <si>
    <r>
      <rPr>
        <b/>
        <sz val="10"/>
        <rFont val="Calibri"/>
        <family val="2"/>
        <charset val="204"/>
      </rPr>
      <t>4-устун:</t>
    </r>
    <r>
      <rPr>
        <sz val="10"/>
        <rFont val="Calibri"/>
        <family val="2"/>
        <charset val="204"/>
      </rPr>
      <t xml:space="preserve"> Сариқ карточкадан кейин тўғридан-тўғри берилган қизил карточкалар сони</t>
    </r>
  </si>
  <si>
    <t>Сариқ &gt; қизил</t>
  </si>
  <si>
    <t>FIFA Ranking</t>
  </si>
  <si>
    <t>Рейтинг ФИФА</t>
  </si>
  <si>
    <t>Rule #1</t>
  </si>
  <si>
    <t>Rule #2</t>
  </si>
  <si>
    <t>Rule #3</t>
  </si>
  <si>
    <t>Rule #4</t>
  </si>
  <si>
    <t>Rule #5</t>
  </si>
  <si>
    <t>Rule #6</t>
  </si>
  <si>
    <t>Rule #7</t>
  </si>
  <si>
    <t>Rule #8</t>
  </si>
  <si>
    <t>Правила #1</t>
  </si>
  <si>
    <t>Правила #2</t>
  </si>
  <si>
    <t>Правила #3</t>
  </si>
  <si>
    <t>Правила #4</t>
  </si>
  <si>
    <t>Правила #5</t>
  </si>
  <si>
    <t>Правила #6</t>
  </si>
  <si>
    <t>Правила #7</t>
  </si>
  <si>
    <t>Правила #8</t>
  </si>
  <si>
    <t>2nd yellow</t>
  </si>
  <si>
    <t>Yellow card</t>
  </si>
  <si>
    <t>Red card</t>
  </si>
  <si>
    <t>Yellow &gt; Red</t>
  </si>
  <si>
    <t>Жёлтая карт.</t>
  </si>
  <si>
    <t>2-оя жёлтая</t>
  </si>
  <si>
    <t>Красная</t>
  </si>
  <si>
    <t>Жёлт. &gt; Красная</t>
  </si>
  <si>
    <t>1-ўрин:</t>
  </si>
  <si>
    <t>2-ўрин:</t>
  </si>
  <si>
    <t>Қуръа натижаси:</t>
  </si>
  <si>
    <t>1-ое место:</t>
  </si>
  <si>
    <t>2-ое место:</t>
  </si>
  <si>
    <t>1st place:</t>
  </si>
  <si>
    <t>2nd place:</t>
  </si>
  <si>
    <t>Overtime</t>
  </si>
  <si>
    <t>Main time</t>
  </si>
  <si>
    <t>Ньюкасл</t>
  </si>
  <si>
    <t>Мельбурн</t>
  </si>
  <si>
    <r>
      <rPr>
        <b/>
        <sz val="10"/>
        <rFont val="Calibri"/>
        <family val="2"/>
        <charset val="204"/>
      </rPr>
      <t>1-column</t>
    </r>
    <r>
      <rPr>
        <sz val="10"/>
        <rFont val="Calibri"/>
        <family val="2"/>
        <charset val="204"/>
      </rPr>
      <t>: Number of single yellow cards</t>
    </r>
  </si>
  <si>
    <r>
      <rPr>
        <b/>
        <sz val="10"/>
        <rFont val="Calibri"/>
        <family val="2"/>
        <charset val="204"/>
      </rPr>
      <t xml:space="preserve">1-столбец: </t>
    </r>
    <r>
      <rPr>
        <sz val="10"/>
        <rFont val="Calibri"/>
        <family val="2"/>
        <charset val="204"/>
      </rPr>
      <t>Количество желтых карточек у игроков команды</t>
    </r>
  </si>
  <si>
    <r>
      <rPr>
        <b/>
        <sz val="10"/>
        <rFont val="Calibri"/>
        <family val="2"/>
        <charset val="204"/>
      </rPr>
      <t>2-column:</t>
    </r>
    <r>
      <rPr>
        <sz val="10"/>
        <rFont val="Calibri"/>
        <family val="2"/>
        <charset val="204"/>
      </rPr>
      <t xml:space="preserve"> Number of red cards as consequences of two yellow cards</t>
    </r>
  </si>
  <si>
    <r>
      <rPr>
        <b/>
        <sz val="10"/>
        <rFont val="Calibri"/>
        <family val="2"/>
        <charset val="204"/>
      </rPr>
      <t>2-столбец:</t>
    </r>
    <r>
      <rPr>
        <sz val="10"/>
        <rFont val="Calibri"/>
        <family val="2"/>
        <charset val="204"/>
      </rPr>
      <t xml:space="preserve"> Количество вторых желтых карточек, превратившихся в красные карточки</t>
    </r>
  </si>
  <si>
    <r>
      <rPr>
        <b/>
        <sz val="10"/>
        <rFont val="Calibri"/>
        <family val="2"/>
        <charset val="204"/>
      </rPr>
      <t>3-column:</t>
    </r>
    <r>
      <rPr>
        <sz val="10"/>
        <rFont val="Calibri"/>
        <family val="2"/>
        <charset val="204"/>
      </rPr>
      <t xml:space="preserve"> Number of direct red cards</t>
    </r>
  </si>
  <si>
    <r>
      <rPr>
        <b/>
        <sz val="10"/>
        <rFont val="Calibri"/>
        <family val="2"/>
        <charset val="204"/>
      </rPr>
      <t>3-столбец:</t>
    </r>
    <r>
      <rPr>
        <sz val="10"/>
        <rFont val="Calibri"/>
        <family val="2"/>
        <charset val="204"/>
      </rPr>
      <t xml:space="preserve"> Количество прямых красных карточек</t>
    </r>
  </si>
  <si>
    <r>
      <rPr>
        <b/>
        <sz val="10"/>
        <rFont val="Calibri"/>
        <family val="2"/>
        <charset val="204"/>
      </rPr>
      <t>4-column</t>
    </r>
    <r>
      <rPr>
        <sz val="10"/>
        <rFont val="Calibri"/>
        <charset val="204"/>
      </rPr>
      <t xml:space="preserve">: Number of direct red cards preceded by a yellow card </t>
    </r>
  </si>
  <si>
    <r>
      <t xml:space="preserve">4-столбец: </t>
    </r>
    <r>
      <rPr>
        <sz val="10"/>
        <rFont val="Calibri"/>
        <family val="2"/>
        <charset val="204"/>
      </rPr>
      <t>Количество прямых красных карточек, полученных после желтых карточек</t>
    </r>
  </si>
  <si>
    <t>Summer time</t>
  </si>
  <si>
    <t>Летнее время</t>
  </si>
  <si>
    <t>Время по Гринвичу</t>
  </si>
  <si>
    <t>Difference in minutes</t>
  </si>
  <si>
    <t>Разница (в минутах)</t>
  </si>
  <si>
    <t>Group stage rule (if the scores of two or more teams are equal)</t>
  </si>
  <si>
    <t>Правило групповой стадии (если очки двух или более команд окажутся равными)</t>
  </si>
  <si>
    <t>Yellow and red cards' count</t>
  </si>
  <si>
    <t>Расчеты по желтым и красным карточкам</t>
  </si>
  <si>
    <t>Results of the draw</t>
  </si>
  <si>
    <t>Результаты жеребьевки</t>
  </si>
  <si>
    <t>Жеребьевка</t>
  </si>
  <si>
    <t>Кувайт</t>
  </si>
  <si>
    <t>Муаллиф: www.xushnudbek.uz</t>
  </si>
  <si>
    <t>XABARDOR.UZ  —  СИЗ УЧУН КЕЧА-КУНДУЗ</t>
  </si>
  <si>
    <t>ЎЗБЕК ТИЛИДАГИ ЭНГ ПОЗИТИВ САЙТГА МАРҲАМАТ</t>
  </si>
  <si>
    <t>,</t>
  </si>
  <si>
    <t>Янги узилган гуллар</t>
  </si>
  <si>
    <t>Свежесрезанные цветы</t>
  </si>
  <si>
    <t>Freshly cut flowers</t>
  </si>
  <si>
    <t>Тошкент, Шаҳрисабз, 15 ("Ойбек" метро)</t>
  </si>
  <si>
    <t xml:space="preserve"> Тел: (95) 145-03-20</t>
  </si>
  <si>
    <t>Тадбирларни безатиш</t>
  </si>
  <si>
    <t>Оформление мероприятий</t>
  </si>
  <si>
    <t>Decoration of events</t>
  </si>
  <si>
    <t>15, Shahrisabz str., Tashkent (subway "Oybek")</t>
  </si>
  <si>
    <t>Ташкент, Шахрисабзская, 15 (метро "Ойбек")</t>
  </si>
  <si>
    <t>Ахборот-таҳлилий портали</t>
  </si>
  <si>
    <t>"Sky-Chess" шахмат мактаби</t>
  </si>
  <si>
    <t>Информационно-аналитический портал</t>
  </si>
  <si>
    <t>Халқаро гроссмейстер ва малакали мураббийлардан шахмат сабоқлари</t>
  </si>
  <si>
    <t>Тел: (91) 164-91-04 | www.skychess.uz</t>
  </si>
  <si>
    <t>Кафе истинно национальной кухни</t>
  </si>
  <si>
    <t>На против магазина "Ганга" | (90) 949-98-89</t>
  </si>
  <si>
    <t>Шахматная школа "Sky-Chess"</t>
  </si>
  <si>
    <t>Chess school "Sky-Chess"</t>
  </si>
  <si>
    <t xml:space="preserve"> Tel: (95) 145-03-20</t>
  </si>
  <si>
    <t>Tel: (91) 164-91-04 | www.skychess.uz</t>
  </si>
  <si>
    <t>Асл миллий таомлар маскани</t>
  </si>
  <si>
    <t>"Ганга" дўкони рўпарасида | (90) 949-98-89</t>
  </si>
  <si>
    <t>Information-analytical portal</t>
  </si>
  <si>
    <t>In front of Ganga shopping center | (90) 949-98-89</t>
  </si>
  <si>
    <t>Chess lessons with international grandmasters and experienced coaches</t>
  </si>
  <si>
    <t>Шахматные уроки от международных гроссмейстеров и опытных тренеров</t>
  </si>
  <si>
    <t>Traditional national cuisine</t>
  </si>
  <si>
    <t>Ҳамкорларимиз:</t>
  </si>
  <si>
    <t>Partners:</t>
  </si>
  <si>
    <t>Партнеры: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</si>
</sst>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38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8"/>
      <name val="Calibri"/>
      <family val="2"/>
      <charset val="204"/>
    </font>
    <font>
      <sz val="18"/>
      <name val="Bookman Old Style"/>
      <family val="1"/>
      <charset val="204"/>
    </font>
    <font>
      <sz val="10"/>
      <name val="Calibri"/>
      <family val="2"/>
      <charset val="204"/>
    </font>
    <font>
      <b/>
      <sz val="18"/>
      <name val="Calibri"/>
      <family val="2"/>
      <charset val="204"/>
    </font>
    <font>
      <sz val="12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36"/>
      <color theme="0"/>
      <name val="Calibri"/>
      <family val="2"/>
      <charset val="204"/>
    </font>
    <font>
      <sz val="24"/>
      <color theme="0"/>
      <name val="Georgia"/>
      <family val="1"/>
      <charset val="204"/>
    </font>
    <font>
      <sz val="14"/>
      <color theme="0"/>
      <name val="Georgia"/>
      <family val="1"/>
      <charset val="204"/>
    </font>
    <font>
      <sz val="16"/>
      <color theme="0"/>
      <name val="Georgia"/>
      <family val="1"/>
      <charset val="204"/>
    </font>
    <font>
      <u/>
      <sz val="10"/>
      <color theme="9" tint="-0.249977111117893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6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28"/>
      <color theme="0"/>
      <name val="Calibri"/>
      <family val="2"/>
      <charset val="204"/>
    </font>
    <font>
      <b/>
      <sz val="18"/>
      <color theme="0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0"/>
      <color rgb="FF0000FF"/>
      <name val="Calibri"/>
      <family val="2"/>
      <charset val="204"/>
    </font>
    <font>
      <sz val="11"/>
      <color rgb="FF0000FF"/>
      <name val="Calibri"/>
      <family val="2"/>
      <charset val="204"/>
    </font>
    <font>
      <sz val="16"/>
      <color rgb="FF0000FF"/>
      <name val="Calibri"/>
      <family val="2"/>
      <charset val="204"/>
    </font>
    <font>
      <b/>
      <sz val="20"/>
      <name val="Calibri"/>
      <family val="2"/>
      <charset val="204"/>
    </font>
    <font>
      <b/>
      <sz val="36"/>
      <color theme="0"/>
      <name val="Calibri"/>
      <family val="2"/>
      <charset val="204"/>
    </font>
    <font>
      <u/>
      <sz val="14"/>
      <color indexed="12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654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C323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FDEAC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/>
      <right/>
      <top style="thin">
        <color indexed="48"/>
      </top>
      <bottom style="hair">
        <color indexed="48"/>
      </bottom>
      <diagonal/>
    </border>
    <border>
      <left/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/>
      <top style="thin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 style="thin">
        <color indexed="48"/>
      </left>
      <right/>
      <top style="thin">
        <color theme="3" tint="0.39991454817346722"/>
      </top>
      <bottom style="thin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thin">
        <color indexed="48"/>
      </bottom>
      <diagonal/>
    </border>
    <border>
      <left style="thin">
        <color theme="3" tint="0.39988402966399123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hair">
        <color indexed="48"/>
      </top>
      <bottom style="thin">
        <color theme="3" tint="0.39988402966399123"/>
      </bottom>
      <diagonal/>
    </border>
    <border>
      <left/>
      <right/>
      <top style="hair">
        <color indexed="48"/>
      </top>
      <bottom style="thin">
        <color theme="3" tint="0.39988402966399123"/>
      </bottom>
      <diagonal/>
    </border>
    <border>
      <left/>
      <right style="hair">
        <color indexed="48"/>
      </right>
      <top style="hair">
        <color indexed="48"/>
      </top>
      <bottom style="thin">
        <color theme="3" tint="0.39988402966399123"/>
      </bottom>
      <diagonal/>
    </border>
    <border>
      <left style="hair">
        <color indexed="48"/>
      </left>
      <right/>
      <top style="hair">
        <color indexed="48"/>
      </top>
      <bottom style="thin">
        <color theme="3" tint="0.39988402966399123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theme="3" tint="0.39988402966399123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theme="3" tint="0.39988402966399123"/>
      </bottom>
      <diagonal/>
    </border>
    <border>
      <left/>
      <right style="thin">
        <color indexed="48"/>
      </right>
      <top style="hair">
        <color indexed="48"/>
      </top>
      <bottom style="thin">
        <color theme="3" tint="0.39988402966399123"/>
      </bottom>
      <diagonal/>
    </border>
    <border>
      <left style="hair">
        <color indexed="48"/>
      </left>
      <right style="thin">
        <color indexed="48"/>
      </right>
      <top/>
      <bottom style="hair">
        <color indexed="48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/>
      <top style="thin">
        <color theme="3" tint="0.39991454817346722"/>
      </top>
      <bottom style="hair">
        <color indexed="48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 style="thin">
        <color theme="3" tint="0.39988402966399123"/>
      </left>
      <right/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 style="thin">
        <color theme="3" tint="0.39988402966399123"/>
      </left>
      <right/>
      <top style="hair">
        <color indexed="48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theme="3" tint="0.399884029663991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dotted">
        <color indexed="48"/>
      </right>
      <top style="thin">
        <color theme="3" tint="0.39991454817346722"/>
      </top>
      <bottom style="dotted">
        <color indexed="48"/>
      </bottom>
      <diagonal/>
    </border>
    <border>
      <left style="dotted">
        <color indexed="48"/>
      </left>
      <right style="thin">
        <color indexed="48"/>
      </right>
      <top style="thin">
        <color theme="3" tint="0.39991454817346722"/>
      </top>
      <bottom style="dotted">
        <color indexed="48"/>
      </bottom>
      <diagonal/>
    </border>
    <border>
      <left style="thin">
        <color indexed="48"/>
      </left>
      <right style="dotted">
        <color indexed="48"/>
      </right>
      <top style="dotted">
        <color indexed="48"/>
      </top>
      <bottom style="dotted">
        <color indexed="48"/>
      </bottom>
      <diagonal/>
    </border>
    <border>
      <left style="dotted">
        <color indexed="48"/>
      </left>
      <right style="thin">
        <color indexed="48"/>
      </right>
      <top style="dotted">
        <color indexed="48"/>
      </top>
      <bottom style="dotted">
        <color indexed="48"/>
      </bottom>
      <diagonal/>
    </border>
    <border>
      <left style="thin">
        <color indexed="48"/>
      </left>
      <right style="dotted">
        <color indexed="48"/>
      </right>
      <top style="dotted">
        <color indexed="48"/>
      </top>
      <bottom style="thin">
        <color indexed="48"/>
      </bottom>
      <diagonal/>
    </border>
    <border>
      <left style="dotted">
        <color indexed="48"/>
      </left>
      <right style="thin">
        <color indexed="48"/>
      </right>
      <top style="dotted">
        <color indexed="48"/>
      </top>
      <bottom style="thin">
        <color indexed="48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hair">
        <color indexed="12"/>
      </right>
      <top style="thin">
        <color indexed="12"/>
      </top>
      <bottom style="hair">
        <color rgb="FF0000FF"/>
      </bottom>
      <diagonal/>
    </border>
    <border>
      <left style="thin">
        <color rgb="FF0000FF"/>
      </left>
      <right style="hair">
        <color indexed="12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indexed="12"/>
      </right>
      <top style="hair">
        <color rgb="FF0000FF"/>
      </top>
      <bottom style="thin">
        <color rgb="FF0000FF"/>
      </bottom>
      <diagonal/>
    </border>
    <border>
      <left/>
      <right/>
      <top style="medium">
        <color indexed="64"/>
      </top>
      <bottom/>
      <diagonal/>
    </border>
    <border>
      <left style="hair">
        <color rgb="FF0000FF"/>
      </left>
      <right/>
      <top style="medium">
        <color indexed="64"/>
      </top>
      <bottom/>
      <diagonal/>
    </border>
    <border>
      <left/>
      <right style="hair">
        <color rgb="FF0000FF"/>
      </right>
      <top style="medium">
        <color indexed="64"/>
      </top>
      <bottom/>
      <diagonal/>
    </border>
    <border>
      <left style="hair">
        <color rgb="FF0000FF"/>
      </left>
      <right/>
      <top/>
      <bottom/>
      <diagonal/>
    </border>
    <border>
      <left/>
      <right style="hair">
        <color rgb="FF0000FF"/>
      </right>
      <top/>
      <bottom/>
      <diagonal/>
    </border>
    <border>
      <left style="hair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 style="hair">
        <color indexed="48"/>
      </left>
      <right style="thin">
        <color theme="3" tint="0.39988402966399123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theme="3" tint="0.39988402966399123"/>
      </left>
      <right/>
      <top style="thin">
        <color theme="3" tint="0.39991454817346722"/>
      </top>
      <bottom/>
      <diagonal/>
    </border>
    <border>
      <left style="thin">
        <color theme="3" tint="0.39988402966399123"/>
      </left>
      <right/>
      <top style="thin">
        <color indexed="48"/>
      </top>
      <bottom style="hair">
        <color indexed="48"/>
      </bottom>
      <diagonal/>
    </border>
    <border>
      <left style="thin">
        <color theme="3" tint="0.39988402966399123"/>
      </left>
      <right/>
      <top style="hair">
        <color indexed="48"/>
      </top>
      <bottom style="thin">
        <color indexed="48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rgb="FF92D05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 style="dotted">
        <color rgb="FF0000FF"/>
      </top>
      <bottom style="medium">
        <color rgb="FF0000FF"/>
      </bottom>
      <diagonal/>
    </border>
    <border>
      <left/>
      <right/>
      <top style="dotted">
        <color rgb="FF0000FF"/>
      </top>
      <bottom style="medium">
        <color rgb="FF0000FF"/>
      </bottom>
      <diagonal/>
    </border>
    <border>
      <left/>
      <right style="medium">
        <color rgb="FF0000FF"/>
      </right>
      <top style="dotted">
        <color rgb="FF0000FF"/>
      </top>
      <bottom style="medium">
        <color rgb="FF0000FF"/>
      </bottom>
      <diagonal/>
    </border>
    <border>
      <left/>
      <right/>
      <top style="medium">
        <color theme="9" tint="-0.24994659260841701"/>
      </top>
      <bottom/>
      <diagonal/>
    </border>
    <border>
      <left/>
      <right/>
      <top/>
      <bottom style="medium">
        <color theme="9" tint="-0.24994659260841701"/>
      </bottom>
      <diagonal/>
    </border>
    <border>
      <left style="medium">
        <color rgb="FF0000FF"/>
      </left>
      <right/>
      <top style="medium">
        <color theme="9" tint="-0.24994659260841701"/>
      </top>
      <bottom/>
      <diagonal/>
    </border>
    <border>
      <left style="medium">
        <color rgb="FF0000FF"/>
      </left>
      <right/>
      <top/>
      <bottom style="medium">
        <color theme="9" tint="-0.24994659260841701"/>
      </bottom>
      <diagonal/>
    </border>
    <border>
      <left style="thick">
        <color rgb="FF92D050"/>
      </left>
      <right/>
      <top style="thick">
        <color rgb="FF92D050"/>
      </top>
      <bottom style="medium">
        <color rgb="FF92D050"/>
      </bottom>
      <diagonal/>
    </border>
    <border>
      <left/>
      <right/>
      <top style="thick">
        <color rgb="FF92D050"/>
      </top>
      <bottom style="medium">
        <color rgb="FF92D050"/>
      </bottom>
      <diagonal/>
    </border>
    <border>
      <left style="medium">
        <color rgb="FF92D050"/>
      </left>
      <right/>
      <top style="thick">
        <color rgb="FF92D050"/>
      </top>
      <bottom style="medium">
        <color rgb="FF92D050"/>
      </bottom>
      <diagonal/>
    </border>
    <border>
      <left/>
      <right style="thick">
        <color rgb="FF92D050"/>
      </right>
      <top style="thick">
        <color rgb="FF92D050"/>
      </top>
      <bottom style="medium">
        <color rgb="FF92D050"/>
      </bottom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 style="medium">
        <color rgb="FF92D050"/>
      </left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/>
      <right style="thick">
        <color rgb="FF92D050"/>
      </right>
      <top style="medium">
        <color theme="9" tint="-0.24994659260841701"/>
      </top>
      <bottom/>
      <diagonal/>
    </border>
    <border>
      <left style="medium">
        <color rgb="FF0000FF"/>
      </left>
      <right/>
      <top/>
      <bottom style="dashed">
        <color rgb="FFE65401"/>
      </bottom>
      <diagonal/>
    </border>
    <border>
      <left/>
      <right/>
      <top/>
      <bottom style="dashed">
        <color rgb="FFE65401"/>
      </bottom>
      <diagonal/>
    </border>
    <border>
      <left/>
      <right style="thick">
        <color rgb="FF92D050"/>
      </right>
      <top/>
      <bottom style="dashed">
        <color rgb="FFE6540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365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5" fillId="0" borderId="0" xfId="0" applyNumberFormat="1" applyFont="1" applyProtection="1"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1" fillId="5" borderId="10" xfId="0" applyFont="1" applyFill="1" applyBorder="1" applyAlignment="1" applyProtection="1">
      <alignment horizontal="center" vertical="center" shrinkToFit="1"/>
      <protection hidden="1"/>
    </xf>
    <xf numFmtId="0" fontId="11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39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165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1" fillId="0" borderId="0" xfId="0" applyFont="1" applyFill="1" applyBorder="1" applyAlignment="1" applyProtection="1">
      <alignment horizontal="right" vertical="center" shrinkToFit="1"/>
      <protection hidden="1"/>
    </xf>
    <xf numFmtId="0" fontId="0" fillId="0" borderId="0" xfId="0" applyFill="1" applyBorder="1" applyAlignment="1" applyProtection="1">
      <alignment horizontal="right" vertical="center" shrinkToFit="1"/>
      <protection hidden="1"/>
    </xf>
    <xf numFmtId="0" fontId="0" fillId="0" borderId="0" xfId="0" applyProtection="1">
      <protection hidden="1"/>
    </xf>
    <xf numFmtId="165" fontId="0" fillId="0" borderId="0" xfId="0" applyNumberFormat="1" applyAlignment="1" applyProtection="1">
      <alignment vertical="center"/>
      <protection hidden="1"/>
    </xf>
    <xf numFmtId="0" fontId="1" fillId="8" borderId="56" xfId="0" applyFont="1" applyFill="1" applyBorder="1" applyAlignment="1" applyProtection="1">
      <alignment horizontal="center" vertical="center" shrinkToFit="1"/>
      <protection hidden="1"/>
    </xf>
    <xf numFmtId="0" fontId="0" fillId="8" borderId="56" xfId="0" applyFill="1" applyBorder="1" applyAlignment="1" applyProtection="1">
      <alignment horizontal="center" vertical="center" shrinkToFit="1"/>
      <protection hidden="1"/>
    </xf>
    <xf numFmtId="164" fontId="0" fillId="8" borderId="57" xfId="0" applyNumberFormat="1" applyFill="1" applyBorder="1" applyAlignment="1" applyProtection="1">
      <alignment horizontal="center" vertical="center" shrinkToFit="1"/>
      <protection hidden="1"/>
    </xf>
    <xf numFmtId="0" fontId="0" fillId="8" borderId="55" xfId="0" applyFill="1" applyBorder="1" applyAlignment="1" applyProtection="1">
      <alignment horizontal="right" vertical="center" indent="3" shrinkToFit="1"/>
      <protection hidden="1"/>
    </xf>
    <xf numFmtId="0" fontId="1" fillId="8" borderId="28" xfId="0" applyFont="1" applyFill="1" applyBorder="1" applyAlignment="1" applyProtection="1">
      <alignment horizontal="center" vertical="center" shrinkToFit="1"/>
      <protection hidden="1"/>
    </xf>
    <xf numFmtId="0" fontId="0" fillId="8" borderId="28" xfId="0" applyFill="1" applyBorder="1" applyAlignment="1" applyProtection="1">
      <alignment horizontal="center" vertical="center" shrinkToFit="1"/>
      <protection hidden="1"/>
    </xf>
    <xf numFmtId="164" fontId="0" fillId="8" borderId="29" xfId="0" applyNumberFormat="1" applyFill="1" applyBorder="1" applyAlignment="1" applyProtection="1">
      <alignment horizontal="center" vertical="center" shrinkToFit="1"/>
      <protection hidden="1"/>
    </xf>
    <xf numFmtId="0" fontId="0" fillId="8" borderId="31" xfId="0" applyFill="1" applyBorder="1" applyAlignment="1" applyProtection="1">
      <alignment horizontal="center" vertical="center" shrinkToFit="1"/>
      <protection hidden="1"/>
    </xf>
    <xf numFmtId="0" fontId="0" fillId="8" borderId="32" xfId="0" applyFill="1" applyBorder="1" applyAlignment="1" applyProtection="1">
      <alignment horizontal="center" vertical="center" shrinkToFit="1"/>
      <protection hidden="1"/>
    </xf>
    <xf numFmtId="164" fontId="0" fillId="8" borderId="33" xfId="0" applyNumberFormat="1" applyFill="1" applyBorder="1" applyAlignment="1" applyProtection="1">
      <alignment horizontal="center" vertical="center" shrinkToFit="1"/>
      <protection hidden="1"/>
    </xf>
    <xf numFmtId="0" fontId="0" fillId="8" borderId="24" xfId="0" applyFill="1" applyBorder="1" applyAlignment="1" applyProtection="1">
      <alignment horizontal="center" vertical="center" shrinkToFit="1"/>
      <protection hidden="1"/>
    </xf>
    <xf numFmtId="0" fontId="1" fillId="8" borderId="25" xfId="0" applyFont="1" applyFill="1" applyBorder="1" applyAlignment="1" applyProtection="1">
      <alignment horizontal="center" vertical="center" shrinkToFit="1"/>
      <protection hidden="1"/>
    </xf>
    <xf numFmtId="0" fontId="0" fillId="8" borderId="25" xfId="0" applyFill="1" applyBorder="1" applyAlignment="1" applyProtection="1">
      <alignment horizontal="center" vertical="center" shrinkToFit="1"/>
      <protection hidden="1"/>
    </xf>
    <xf numFmtId="164" fontId="0" fillId="8" borderId="26" xfId="0" applyNumberFormat="1" applyFill="1" applyBorder="1" applyAlignment="1" applyProtection="1">
      <alignment horizontal="center" vertical="center" shrinkToFit="1"/>
      <protection hidden="1"/>
    </xf>
    <xf numFmtId="0" fontId="0" fillId="8" borderId="27" xfId="0" applyFill="1" applyBorder="1" applyAlignment="1" applyProtection="1">
      <alignment horizontal="right" vertical="center" shrinkToFit="1"/>
      <protection hidden="1"/>
    </xf>
    <xf numFmtId="0" fontId="0" fillId="8" borderId="30" xfId="0" applyFill="1" applyBorder="1" applyAlignment="1" applyProtection="1">
      <alignment horizontal="right" vertical="center" shrinkToFit="1"/>
      <protection hidden="1"/>
    </xf>
    <xf numFmtId="0" fontId="0" fillId="8" borderId="26" xfId="0" applyFill="1" applyBorder="1" applyAlignment="1" applyProtection="1">
      <alignment horizontal="left" vertical="center" shrinkToFit="1"/>
      <protection hidden="1"/>
    </xf>
    <xf numFmtId="0" fontId="1" fillId="8" borderId="34" xfId="0" applyFont="1" applyFill="1" applyBorder="1" applyAlignment="1" applyProtection="1">
      <alignment horizontal="right" vertical="center" shrinkToFit="1"/>
      <protection hidden="1"/>
    </xf>
    <xf numFmtId="0" fontId="0" fillId="8" borderId="29" xfId="0" applyFill="1" applyBorder="1" applyAlignment="1" applyProtection="1">
      <alignment horizontal="left" vertical="center" shrinkToFit="1"/>
      <protection hidden="1"/>
    </xf>
    <xf numFmtId="0" fontId="1" fillId="8" borderId="35" xfId="0" applyFont="1" applyFill="1" applyBorder="1" applyAlignment="1" applyProtection="1">
      <alignment horizontal="right" vertical="center" shrinkToFit="1"/>
      <protection hidden="1"/>
    </xf>
    <xf numFmtId="0" fontId="5" fillId="8" borderId="25" xfId="0" applyFont="1" applyFill="1" applyBorder="1" applyAlignment="1" applyProtection="1">
      <alignment horizontal="center" vertical="center" shrinkToFit="1"/>
      <protection hidden="1"/>
    </xf>
    <xf numFmtId="0" fontId="5" fillId="8" borderId="32" xfId="0" applyFont="1" applyFill="1" applyBorder="1" applyAlignment="1" applyProtection="1">
      <alignment horizontal="center" vertical="center" shrinkToFit="1"/>
      <protection hidden="1"/>
    </xf>
    <xf numFmtId="0" fontId="0" fillId="8" borderId="34" xfId="0" applyFill="1" applyBorder="1" applyAlignment="1" applyProtection="1">
      <alignment horizontal="right" vertical="center" shrinkToFit="1"/>
      <protection hidden="1"/>
    </xf>
    <xf numFmtId="0" fontId="0" fillId="8" borderId="37" xfId="0" applyFill="1" applyBorder="1" applyAlignment="1" applyProtection="1">
      <alignment horizontal="right" vertical="center" shrinkToFit="1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right"/>
      <protection hidden="1"/>
    </xf>
    <xf numFmtId="0" fontId="1" fillId="8" borderId="34" xfId="0" applyFont="1" applyFill="1" applyBorder="1" applyAlignment="1" applyProtection="1">
      <alignment horizontal="center" vertical="center" shrinkToFit="1"/>
      <protection hidden="1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42" xfId="0" applyFont="1" applyFill="1" applyBorder="1" applyAlignment="1" applyProtection="1">
      <alignment horizontal="center" vertical="center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8" borderId="47" xfId="0" applyNumberFormat="1" applyFont="1" applyFill="1" applyBorder="1" applyAlignment="1" applyProtection="1">
      <alignment horizontal="left" vertical="center" indent="3" shrinkToFit="1"/>
      <protection hidden="1"/>
    </xf>
    <xf numFmtId="0" fontId="0" fillId="8" borderId="29" xfId="0" applyNumberFormat="1" applyFill="1" applyBorder="1" applyAlignment="1" applyProtection="1">
      <alignment horizontal="left" vertical="center" indent="3" shrinkToFit="1"/>
      <protection hidden="1"/>
    </xf>
    <xf numFmtId="0" fontId="0" fillId="8" borderId="42" xfId="0" applyNumberFormat="1" applyFill="1" applyBorder="1" applyAlignment="1" applyProtection="1">
      <alignment horizontal="right" vertical="center" indent="3" shrinkToFit="1"/>
      <protection hidden="1"/>
    </xf>
    <xf numFmtId="0" fontId="0" fillId="8" borderId="38" xfId="0" applyNumberFormat="1" applyFill="1" applyBorder="1" applyAlignment="1" applyProtection="1">
      <alignment horizontal="right" vertical="center" shrinkToFit="1"/>
      <protection hidden="1"/>
    </xf>
    <xf numFmtId="0" fontId="0" fillId="8" borderId="36" xfId="0" applyNumberFormat="1" applyFill="1" applyBorder="1" applyAlignment="1" applyProtection="1">
      <alignment horizontal="left" vertical="center" shrinkToFit="1"/>
      <protection hidden="1"/>
    </xf>
    <xf numFmtId="0" fontId="0" fillId="8" borderId="27" xfId="0" applyNumberFormat="1" applyFill="1" applyBorder="1" applyAlignment="1" applyProtection="1">
      <alignment horizontal="right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 shrinkToFit="1"/>
      <protection hidden="1"/>
    </xf>
    <xf numFmtId="0" fontId="1" fillId="0" borderId="63" xfId="0" applyFont="1" applyFill="1" applyBorder="1" applyAlignment="1" applyProtection="1">
      <alignment horizontal="center" vertical="center" shrinkToFit="1"/>
      <protection hidden="1"/>
    </xf>
    <xf numFmtId="164" fontId="0" fillId="0" borderId="63" xfId="0" applyNumberFormat="1" applyFill="1" applyBorder="1" applyAlignment="1" applyProtection="1">
      <alignment horizontal="center" vertical="center" shrinkToFit="1"/>
      <protection hidden="1"/>
    </xf>
    <xf numFmtId="0" fontId="0" fillId="0" borderId="63" xfId="0" applyFill="1" applyBorder="1" applyAlignment="1" applyProtection="1">
      <alignment horizontal="right" vertical="center" shrinkToFit="1"/>
      <protection hidden="1"/>
    </xf>
    <xf numFmtId="0" fontId="1" fillId="0" borderId="63" xfId="0" applyFont="1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left" vertical="center" shrinkToFit="1"/>
      <protection hidden="1"/>
    </xf>
    <xf numFmtId="0" fontId="1" fillId="0" borderId="63" xfId="0" applyFont="1" applyFill="1" applyBorder="1" applyAlignment="1" applyProtection="1">
      <alignment horizontal="right" vertical="center" shrinkToFit="1"/>
      <protection hidden="1"/>
    </xf>
    <xf numFmtId="0" fontId="0" fillId="0" borderId="0" xfId="0" applyFill="1" applyBorder="1" applyAlignment="1" applyProtection="1">
      <alignment horizontal="left" vertical="center" shrinkToFit="1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0" fillId="8" borderId="64" xfId="0" applyFill="1" applyBorder="1" applyAlignment="1" applyProtection="1">
      <alignment horizontal="center" vertical="center" shrinkToFit="1"/>
      <protection hidden="1"/>
    </xf>
    <xf numFmtId="0" fontId="5" fillId="8" borderId="65" xfId="0" applyFont="1" applyFill="1" applyBorder="1" applyAlignment="1" applyProtection="1">
      <alignment horizontal="center" vertical="center" shrinkToFit="1"/>
      <protection hidden="1"/>
    </xf>
    <xf numFmtId="0" fontId="0" fillId="8" borderId="65" xfId="0" applyFill="1" applyBorder="1" applyAlignment="1" applyProtection="1">
      <alignment horizontal="center" vertical="center" shrinkToFit="1"/>
      <protection hidden="1"/>
    </xf>
    <xf numFmtId="164" fontId="0" fillId="8" borderId="66" xfId="0" applyNumberFormat="1" applyFill="1" applyBorder="1" applyAlignment="1" applyProtection="1">
      <alignment horizontal="center" vertical="center" shrinkToFit="1"/>
      <protection hidden="1"/>
    </xf>
    <xf numFmtId="0" fontId="0" fillId="8" borderId="67" xfId="0" applyFill="1" applyBorder="1" applyAlignment="1" applyProtection="1">
      <alignment horizontal="right" vertical="center" shrinkToFit="1"/>
      <protection hidden="1"/>
    </xf>
    <xf numFmtId="0" fontId="5" fillId="6" borderId="68" xfId="0" applyFont="1" applyFill="1" applyBorder="1" applyAlignment="1" applyProtection="1">
      <alignment horizontal="center" vertical="center"/>
      <protection locked="0"/>
    </xf>
    <xf numFmtId="0" fontId="5" fillId="6" borderId="69" xfId="0" applyFont="1" applyFill="1" applyBorder="1" applyAlignment="1" applyProtection="1">
      <alignment horizontal="center" vertical="center"/>
      <protection locked="0"/>
    </xf>
    <xf numFmtId="0" fontId="0" fillId="8" borderId="66" xfId="0" applyFill="1" applyBorder="1" applyAlignment="1" applyProtection="1">
      <alignment horizontal="left" vertical="center" shrinkToFit="1"/>
      <protection hidden="1"/>
    </xf>
    <xf numFmtId="0" fontId="0" fillId="8" borderId="70" xfId="0" applyFill="1" applyBorder="1" applyAlignment="1" applyProtection="1">
      <alignment horizontal="right" vertical="center" shrinkToFit="1"/>
      <protection hidden="1"/>
    </xf>
    <xf numFmtId="0" fontId="0" fillId="8" borderId="71" xfId="0" applyFill="1" applyBorder="1" applyAlignment="1" applyProtection="1">
      <alignment horizontal="right" vertical="center" indent="3" shrinkToFit="1"/>
      <protection hidden="1"/>
    </xf>
    <xf numFmtId="0" fontId="0" fillId="0" borderId="0" xfId="0" applyNumberFormat="1" applyFill="1" applyBorder="1" applyAlignment="1" applyProtection="1">
      <alignment horizontal="right" vertical="center" indent="3" shrinkToFit="1"/>
      <protection hidden="1"/>
    </xf>
    <xf numFmtId="0" fontId="0" fillId="8" borderId="75" xfId="0" applyFill="1" applyBorder="1" applyAlignment="1" applyProtection="1">
      <alignment horizontal="center" vertical="center" shrinkToFit="1"/>
      <protection hidden="1"/>
    </xf>
    <xf numFmtId="0" fontId="0" fillId="8" borderId="77" xfId="0" applyFill="1" applyBorder="1" applyAlignment="1" applyProtection="1">
      <alignment horizontal="center" vertical="center" shrinkToFit="1"/>
      <protection hidden="1"/>
    </xf>
    <xf numFmtId="0" fontId="0" fillId="8" borderId="79" xfId="0" applyFill="1" applyBorder="1" applyAlignment="1" applyProtection="1">
      <alignment horizontal="center" vertical="center" shrinkToFit="1"/>
      <protection hidden="1"/>
    </xf>
    <xf numFmtId="0" fontId="1" fillId="8" borderId="65" xfId="0" applyFont="1" applyFill="1" applyBorder="1" applyAlignment="1" applyProtection="1">
      <alignment horizontal="center" vertical="center" shrinkToFit="1"/>
      <protection hidden="1"/>
    </xf>
    <xf numFmtId="0" fontId="0" fillId="8" borderId="69" xfId="0" applyNumberFormat="1" applyFill="1" applyBorder="1" applyAlignment="1" applyProtection="1">
      <alignment horizontal="right" vertical="center" indent="3" shrinkToFit="1"/>
      <protection hidden="1"/>
    </xf>
    <xf numFmtId="0" fontId="0" fillId="8" borderId="66" xfId="0" applyNumberFormat="1" applyFill="1" applyBorder="1" applyAlignment="1" applyProtection="1">
      <alignment horizontal="left" vertical="center" indent="3" shrinkToFit="1"/>
      <protection hidden="1"/>
    </xf>
    <xf numFmtId="0" fontId="0" fillId="8" borderId="26" xfId="0" applyNumberFormat="1" applyFill="1" applyBorder="1" applyAlignment="1" applyProtection="1">
      <alignment horizontal="left" vertical="center" shrinkToFit="1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4" borderId="81" xfId="0" applyFont="1" applyFill="1" applyBorder="1" applyAlignment="1" applyProtection="1">
      <alignment horizontal="center"/>
      <protection hidden="1"/>
    </xf>
    <xf numFmtId="0" fontId="5" fillId="4" borderId="82" xfId="0" applyFont="1" applyFill="1" applyBorder="1" applyAlignment="1" applyProtection="1">
      <alignment horizontal="center"/>
      <protection hidden="1"/>
    </xf>
    <xf numFmtId="0" fontId="5" fillId="4" borderId="83" xfId="0" applyFont="1" applyFill="1" applyBorder="1" applyAlignment="1" applyProtection="1">
      <alignment horizontal="center"/>
      <protection hidden="1"/>
    </xf>
    <xf numFmtId="0" fontId="1" fillId="0" borderId="59" xfId="0" applyFont="1" applyFill="1" applyBorder="1" applyAlignment="1" applyProtection="1">
      <alignment vertical="center" shrinkToFit="1"/>
      <protection hidden="1"/>
    </xf>
    <xf numFmtId="0" fontId="0" fillId="0" borderId="59" xfId="0" applyFill="1" applyBorder="1" applyAlignment="1" applyProtection="1">
      <alignment vertical="center" shrinkToFit="1"/>
      <protection hidden="1"/>
    </xf>
    <xf numFmtId="0" fontId="1" fillId="6" borderId="84" xfId="0" applyFont="1" applyFill="1" applyBorder="1" applyAlignment="1" applyProtection="1">
      <alignment horizontal="center" vertical="center"/>
      <protection locked="0"/>
    </xf>
    <xf numFmtId="0" fontId="1" fillId="6" borderId="85" xfId="0" applyFont="1" applyFill="1" applyBorder="1" applyAlignment="1" applyProtection="1">
      <alignment horizontal="center" vertical="center"/>
      <protection locked="0"/>
    </xf>
    <xf numFmtId="0" fontId="1" fillId="6" borderId="86" xfId="0" applyFont="1" applyFill="1" applyBorder="1" applyAlignment="1" applyProtection="1">
      <alignment horizontal="center" vertical="center"/>
      <protection locked="0"/>
    </xf>
    <xf numFmtId="0" fontId="1" fillId="6" borderId="87" xfId="0" applyFont="1" applyFill="1" applyBorder="1" applyAlignment="1" applyProtection="1">
      <alignment horizontal="center" vertical="center"/>
      <protection locked="0"/>
    </xf>
    <xf numFmtId="0" fontId="1" fillId="6" borderId="88" xfId="0" applyFont="1" applyFill="1" applyBorder="1" applyAlignment="1" applyProtection="1">
      <alignment horizontal="center" vertical="center"/>
      <protection locked="0"/>
    </xf>
    <xf numFmtId="0" fontId="1" fillId="6" borderId="89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Alignment="1" applyProtection="1">
      <alignment vertical="center"/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Alignment="1" applyProtection="1">
      <alignment horizontal="center" vertical="center"/>
      <protection hidden="1"/>
    </xf>
    <xf numFmtId="1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5" fillId="0" borderId="0" xfId="0" applyNumberFormat="1" applyFont="1" applyFill="1" applyProtection="1">
      <protection hidden="1"/>
    </xf>
    <xf numFmtId="0" fontId="7" fillId="2" borderId="2" xfId="0" applyFont="1" applyFill="1" applyBorder="1" applyAlignment="1" applyProtection="1">
      <protection hidden="1"/>
    </xf>
    <xf numFmtId="0" fontId="7" fillId="2" borderId="3" xfId="0" applyFont="1" applyFill="1" applyBorder="1" applyAlignment="1" applyProtection="1">
      <protection hidden="1"/>
    </xf>
    <xf numFmtId="0" fontId="11" fillId="5" borderId="90" xfId="0" applyFont="1" applyFill="1" applyBorder="1" applyAlignment="1" applyProtection="1">
      <alignment horizontal="center" vertical="center" shrinkToFit="1"/>
      <protection hidden="1"/>
    </xf>
    <xf numFmtId="0" fontId="1" fillId="9" borderId="16" xfId="0" applyNumberFormat="1" applyFont="1" applyFill="1" applyBorder="1" applyAlignment="1" applyProtection="1">
      <alignment horizontal="center" vertical="center"/>
      <protection hidden="1"/>
    </xf>
    <xf numFmtId="0" fontId="1" fillId="9" borderId="18" xfId="0" applyNumberFormat="1" applyFont="1" applyFill="1" applyBorder="1" applyAlignment="1" applyProtection="1">
      <alignment horizontal="center" vertical="center"/>
      <protection hidden="1"/>
    </xf>
    <xf numFmtId="0" fontId="1" fillId="9" borderId="20" xfId="0" applyNumberFormat="1" applyFont="1" applyFill="1" applyBorder="1" applyAlignment="1" applyProtection="1">
      <alignment horizontal="center" vertical="center"/>
      <protection hidden="1"/>
    </xf>
    <xf numFmtId="0" fontId="9" fillId="2" borderId="4" xfId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94" xfId="0" applyFont="1" applyFill="1" applyBorder="1" applyAlignment="1" applyProtection="1">
      <protection hidden="1"/>
    </xf>
    <xf numFmtId="0" fontId="7" fillId="0" borderId="96" xfId="0" applyFont="1" applyFill="1" applyBorder="1" applyAlignment="1" applyProtection="1">
      <protection hidden="1"/>
    </xf>
    <xf numFmtId="0" fontId="7" fillId="0" borderId="98" xfId="0" applyFont="1" applyFill="1" applyBorder="1" applyAlignment="1" applyProtection="1">
      <protection hidden="1"/>
    </xf>
    <xf numFmtId="0" fontId="1" fillId="0" borderId="100" xfId="0" applyNumberFormat="1" applyFont="1" applyFill="1" applyBorder="1" applyAlignment="1" applyProtection="1">
      <alignment wrapText="1"/>
      <protection hidden="1"/>
    </xf>
    <xf numFmtId="0" fontId="1" fillId="0" borderId="101" xfId="0" applyNumberFormat="1" applyFont="1" applyFill="1" applyBorder="1" applyAlignment="1" applyProtection="1">
      <alignment wrapText="1"/>
      <protection hidden="1"/>
    </xf>
    <xf numFmtId="0" fontId="12" fillId="8" borderId="0" xfId="0" applyFont="1" applyFill="1" applyBorder="1" applyAlignment="1" applyProtection="1">
      <alignment horizontal="center" vertical="center"/>
      <protection hidden="1"/>
    </xf>
    <xf numFmtId="0" fontId="5" fillId="2" borderId="0" xfId="0" applyNumberFormat="1" applyFont="1" applyFill="1" applyBorder="1" applyAlignment="1" applyProtection="1">
      <alignment horizontal="left" indent="1"/>
      <protection hidden="1"/>
    </xf>
    <xf numFmtId="0" fontId="5" fillId="2" borderId="4" xfId="0" applyNumberFormat="1" applyFont="1" applyFill="1" applyBorder="1" applyAlignment="1" applyProtection="1">
      <alignment horizontal="left" indent="1"/>
      <protection hidden="1"/>
    </xf>
    <xf numFmtId="0" fontId="5" fillId="0" borderId="101" xfId="0" applyFont="1" applyBorder="1" applyProtection="1">
      <protection hidden="1"/>
    </xf>
    <xf numFmtId="0" fontId="5" fillId="0" borderId="103" xfId="0" applyFont="1" applyBorder="1" applyProtection="1">
      <protection hidden="1"/>
    </xf>
    <xf numFmtId="0" fontId="11" fillId="0" borderId="103" xfId="0" applyNumberFormat="1" applyFont="1" applyBorder="1" applyProtection="1">
      <protection hidden="1"/>
    </xf>
    <xf numFmtId="0" fontId="11" fillId="0" borderId="102" xfId="0" applyNumberFormat="1" applyFont="1" applyBorder="1" applyProtection="1">
      <protection hidden="1"/>
    </xf>
    <xf numFmtId="0" fontId="1" fillId="6" borderId="108" xfId="0" applyFont="1" applyFill="1" applyBorder="1" applyAlignment="1" applyProtection="1">
      <alignment horizontal="center" vertical="center"/>
      <protection locked="0"/>
    </xf>
    <xf numFmtId="0" fontId="1" fillId="6" borderId="109" xfId="0" applyFont="1" applyFill="1" applyBorder="1" applyAlignment="1" applyProtection="1">
      <alignment horizontal="center" vertical="center"/>
      <protection locked="0"/>
    </xf>
    <xf numFmtId="0" fontId="1" fillId="8" borderId="32" xfId="0" applyFont="1" applyFill="1" applyBorder="1" applyAlignment="1" applyProtection="1">
      <alignment horizontal="center" vertical="center" shrinkToFit="1"/>
      <protection hidden="1"/>
    </xf>
    <xf numFmtId="0" fontId="0" fillId="8" borderId="110" xfId="0" applyFill="1" applyBorder="1" applyAlignment="1" applyProtection="1">
      <alignment horizontal="right" vertical="center" shrinkToFit="1"/>
      <protection hidden="1"/>
    </xf>
    <xf numFmtId="0" fontId="1" fillId="6" borderId="111" xfId="0" applyFont="1" applyFill="1" applyBorder="1" applyAlignment="1" applyProtection="1">
      <alignment horizontal="center" vertical="center"/>
      <protection locked="0"/>
    </xf>
    <xf numFmtId="0" fontId="1" fillId="6" borderId="112" xfId="0" applyFont="1" applyFill="1" applyBorder="1" applyAlignment="1" applyProtection="1">
      <alignment horizontal="center" vertical="center"/>
      <protection locked="0"/>
    </xf>
    <xf numFmtId="0" fontId="0" fillId="8" borderId="33" xfId="0" applyFill="1" applyBorder="1" applyAlignment="1" applyProtection="1">
      <alignment horizontal="left" vertical="center" shrinkToFit="1"/>
      <protection hidden="1"/>
    </xf>
    <xf numFmtId="0" fontId="1" fillId="8" borderId="113" xfId="0" applyFont="1" applyFill="1" applyBorder="1" applyAlignment="1" applyProtection="1">
      <alignment horizontal="right" vertical="center" shrinkToFit="1"/>
      <protection hidden="1"/>
    </xf>
    <xf numFmtId="0" fontId="1" fillId="6" borderId="114" xfId="0" applyFont="1" applyFill="1" applyBorder="1" applyAlignment="1" applyProtection="1">
      <alignment horizontal="center" vertical="center"/>
      <protection locked="0"/>
    </xf>
    <xf numFmtId="0" fontId="12" fillId="8" borderId="62" xfId="0" applyFont="1" applyFill="1" applyBorder="1" applyAlignment="1" applyProtection="1">
      <alignment horizontal="center" vertical="center"/>
      <protection hidden="1"/>
    </xf>
    <xf numFmtId="0" fontId="0" fillId="8" borderId="116" xfId="0" applyFill="1" applyBorder="1" applyAlignment="1" applyProtection="1">
      <alignment horizontal="center" vertical="center" shrinkToFit="1"/>
      <protection hidden="1"/>
    </xf>
    <xf numFmtId="0" fontId="0" fillId="8" borderId="117" xfId="0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Fill="1" applyAlignment="1"/>
    <xf numFmtId="0" fontId="1" fillId="0" borderId="0" xfId="0" applyFont="1" applyFill="1" applyAlignment="1"/>
    <xf numFmtId="0" fontId="19" fillId="0" borderId="0" xfId="0" applyFont="1" applyFill="1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/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NumberFormat="1" applyFont="1" applyAlignment="1" applyProtection="1">
      <protection hidden="1"/>
    </xf>
    <xf numFmtId="0" fontId="15" fillId="0" borderId="0" xfId="1" applyFont="1" applyFill="1" applyBorder="1" applyAlignment="1" applyProtection="1">
      <alignment vertical="center" wrapText="1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165" fontId="5" fillId="0" borderId="0" xfId="0" applyNumberFormat="1" applyFont="1" applyProtection="1"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0" fontId="5" fillId="0" borderId="91" xfId="0" applyFont="1" applyFill="1" applyBorder="1" applyAlignment="1" applyProtection="1">
      <alignment horizontal="left"/>
      <protection hidden="1"/>
    </xf>
    <xf numFmtId="0" fontId="5" fillId="0" borderId="92" xfId="0" applyFont="1" applyFill="1" applyBorder="1" applyAlignment="1" applyProtection="1">
      <alignment horizontal="left"/>
      <protection hidden="1"/>
    </xf>
    <xf numFmtId="0" fontId="5" fillId="0" borderId="93" xfId="0" applyFont="1" applyFill="1" applyBorder="1" applyAlignment="1" applyProtection="1">
      <alignment horizontal="left"/>
      <protection hidden="1"/>
    </xf>
    <xf numFmtId="0" fontId="0" fillId="9" borderId="77" xfId="0" applyFill="1" applyBorder="1" applyAlignment="1" applyProtection="1">
      <alignment horizontal="center" vertical="center" shrinkToFit="1"/>
      <protection hidden="1"/>
    </xf>
    <xf numFmtId="0" fontId="1" fillId="9" borderId="28" xfId="0" applyFont="1" applyFill="1" applyBorder="1" applyAlignment="1" applyProtection="1">
      <alignment horizontal="center" vertical="center" shrinkToFit="1"/>
      <protection hidden="1"/>
    </xf>
    <xf numFmtId="0" fontId="0" fillId="9" borderId="28" xfId="0" applyFill="1" applyBorder="1" applyAlignment="1" applyProtection="1">
      <alignment horizontal="center" vertical="center" shrinkToFit="1"/>
      <protection hidden="1"/>
    </xf>
    <xf numFmtId="164" fontId="0" fillId="9" borderId="29" xfId="0" applyNumberFormat="1" applyFill="1" applyBorder="1" applyAlignment="1" applyProtection="1">
      <alignment horizontal="center" vertical="center" shrinkToFit="1"/>
      <protection hidden="1"/>
    </xf>
    <xf numFmtId="0" fontId="0" fillId="9" borderId="42" xfId="0" applyNumberFormat="1" applyFill="1" applyBorder="1" applyAlignment="1" applyProtection="1">
      <alignment horizontal="right" vertical="center" indent="3" shrinkToFit="1"/>
      <protection hidden="1"/>
    </xf>
    <xf numFmtId="0" fontId="1" fillId="9" borderId="86" xfId="0" applyFont="1" applyFill="1" applyBorder="1" applyAlignment="1" applyProtection="1">
      <alignment horizontal="center" vertical="center"/>
      <protection locked="0"/>
    </xf>
    <xf numFmtId="0" fontId="1" fillId="9" borderId="87" xfId="0" applyFont="1" applyFill="1" applyBorder="1" applyAlignment="1" applyProtection="1">
      <alignment horizontal="center" vertical="center"/>
      <protection locked="0"/>
    </xf>
    <xf numFmtId="0" fontId="0" fillId="9" borderId="29" xfId="0" applyNumberFormat="1" applyFill="1" applyBorder="1" applyAlignment="1" applyProtection="1">
      <alignment horizontal="left" vertical="center" indent="3" shrinkToFit="1"/>
      <protection hidden="1"/>
    </xf>
    <xf numFmtId="0" fontId="1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8" borderId="0" xfId="0" applyFill="1" applyBorder="1" applyAlignment="1" applyProtection="1">
      <alignment horizontal="center" vertical="center" shrinkToFit="1"/>
      <protection hidden="1"/>
    </xf>
    <xf numFmtId="0" fontId="5" fillId="8" borderId="0" xfId="0" applyFont="1" applyFill="1" applyBorder="1" applyAlignment="1" applyProtection="1">
      <alignment horizontal="center" vertical="center" shrinkToFit="1"/>
      <protection hidden="1"/>
    </xf>
    <xf numFmtId="164" fontId="0" fillId="8" borderId="0" xfId="0" applyNumberFormat="1" applyFill="1" applyBorder="1" applyAlignment="1" applyProtection="1">
      <alignment horizontal="center" vertical="center" shrinkToFit="1"/>
      <protection hidden="1"/>
    </xf>
    <xf numFmtId="0" fontId="0" fillId="8" borderId="0" xfId="0" applyNumberFormat="1" applyFill="1" applyBorder="1" applyAlignment="1" applyProtection="1">
      <alignment horizontal="right" vertical="center" shrinkToFit="1"/>
      <protection hidden="1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Border="1" applyAlignment="1" applyProtection="1">
      <alignment horizontal="left" vertical="center" shrinkToFit="1"/>
      <protection hidden="1"/>
    </xf>
    <xf numFmtId="0" fontId="0" fillId="8" borderId="0" xfId="0" applyFill="1" applyBorder="1" applyAlignment="1" applyProtection="1">
      <alignment horizontal="right" vertical="center" shrinkToFit="1"/>
      <protection hidden="1"/>
    </xf>
    <xf numFmtId="165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 wrapText="1"/>
      <protection hidden="1"/>
    </xf>
    <xf numFmtId="0" fontId="17" fillId="0" borderId="126" xfId="0" applyFont="1" applyFill="1" applyBorder="1" applyAlignment="1" applyProtection="1">
      <alignment vertical="center"/>
      <protection hidden="1"/>
    </xf>
    <xf numFmtId="0" fontId="0" fillId="0" borderId="0" xfId="0" applyFont="1" applyAlignment="1"/>
    <xf numFmtId="0" fontId="8" fillId="0" borderId="133" xfId="0" applyFont="1" applyFill="1" applyBorder="1" applyAlignment="1" applyProtection="1">
      <alignment horizontal="center" vertical="center" shrinkToFit="1"/>
      <protection hidden="1"/>
    </xf>
    <xf numFmtId="0" fontId="8" fillId="0" borderId="134" xfId="0" applyFont="1" applyFill="1" applyBorder="1" applyAlignment="1" applyProtection="1">
      <alignment horizontal="center" vertical="center" shrinkToFit="1"/>
      <protection hidden="1"/>
    </xf>
    <xf numFmtId="0" fontId="8" fillId="0" borderId="13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20" fillId="13" borderId="0" xfId="0" applyFont="1" applyFill="1" applyBorder="1" applyAlignment="1" applyProtection="1">
      <alignment horizontal="center" vertical="center" shrinkToFit="1"/>
      <protection hidden="1"/>
    </xf>
    <xf numFmtId="0" fontId="8" fillId="15" borderId="147" xfId="0" applyFont="1" applyFill="1" applyBorder="1" applyAlignment="1" applyProtection="1">
      <alignment horizontal="center" vertical="center" shrinkToFit="1"/>
      <protection hidden="1"/>
    </xf>
    <xf numFmtId="0" fontId="8" fillId="15" borderId="140" xfId="0" applyFont="1" applyFill="1" applyBorder="1" applyAlignment="1" applyProtection="1">
      <alignment horizontal="center" vertical="center" shrinkToFit="1"/>
      <protection hidden="1"/>
    </xf>
    <xf numFmtId="0" fontId="20" fillId="13" borderId="153" xfId="0" applyFont="1" applyFill="1" applyBorder="1" applyAlignment="1" applyProtection="1">
      <alignment horizontal="center" vertical="center" shrinkToFit="1"/>
      <protection hidden="1"/>
    </xf>
    <xf numFmtId="0" fontId="30" fillId="13" borderId="155" xfId="0" applyFont="1" applyFill="1" applyBorder="1" applyAlignment="1" applyProtection="1">
      <alignment vertical="center"/>
      <protection hidden="1"/>
    </xf>
    <xf numFmtId="0" fontId="30" fillId="13" borderId="156" xfId="0" applyFont="1" applyFill="1" applyBorder="1" applyAlignment="1" applyProtection="1">
      <alignment vertical="center"/>
      <protection hidden="1"/>
    </xf>
    <xf numFmtId="0" fontId="8" fillId="15" borderId="160" xfId="0" applyFont="1" applyFill="1" applyBorder="1" applyAlignment="1" applyProtection="1">
      <alignment horizontal="center" vertical="center" shrinkToFit="1"/>
      <protection hidden="1"/>
    </xf>
    <xf numFmtId="0" fontId="35" fillId="0" borderId="0" xfId="0" applyFont="1" applyAlignment="1" applyProtection="1">
      <alignment vertical="center" shrinkToFit="1"/>
      <protection hidden="1"/>
    </xf>
    <xf numFmtId="0" fontId="25" fillId="0" borderId="95" xfId="0" applyFont="1" applyFill="1" applyBorder="1" applyAlignment="1" applyProtection="1">
      <alignment horizontal="left" indent="1"/>
      <protection hidden="1"/>
    </xf>
    <xf numFmtId="0" fontId="25" fillId="0" borderId="97" xfId="0" applyFont="1" applyFill="1" applyBorder="1" applyAlignment="1" applyProtection="1">
      <alignment horizontal="left" indent="1"/>
      <protection hidden="1"/>
    </xf>
    <xf numFmtId="0" fontId="25" fillId="0" borderId="99" xfId="0" applyFont="1" applyFill="1" applyBorder="1" applyAlignment="1" applyProtection="1">
      <alignment horizontal="left" vertical="center" indent="1"/>
      <protection hidden="1"/>
    </xf>
    <xf numFmtId="0" fontId="24" fillId="10" borderId="0" xfId="1" applyFont="1" applyFill="1" applyAlignment="1" applyProtection="1">
      <alignment vertical="center" wrapText="1"/>
      <protection hidden="1"/>
    </xf>
    <xf numFmtId="0" fontId="21" fillId="0" borderId="0" xfId="1" applyFont="1" applyFill="1" applyBorder="1" applyAlignment="1" applyProtection="1">
      <alignment vertical="center" wrapText="1"/>
      <protection hidden="1"/>
    </xf>
    <xf numFmtId="0" fontId="23" fillId="0" borderId="0" xfId="1" applyFont="1" applyFill="1" applyBorder="1" applyAlignment="1" applyProtection="1">
      <alignment vertical="center" wrapText="1"/>
      <protection hidden="1"/>
    </xf>
    <xf numFmtId="0" fontId="24" fillId="0" borderId="0" xfId="1" applyFont="1" applyFill="1" applyBorder="1" applyAlignment="1" applyProtection="1">
      <alignment vertical="center" wrapText="1"/>
      <protection hidden="1"/>
    </xf>
    <xf numFmtId="0" fontId="24" fillId="10" borderId="131" xfId="1" applyFont="1" applyFill="1" applyBorder="1" applyAlignment="1" applyProtection="1">
      <alignment vertical="center" wrapTex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24" fillId="0" borderId="0" xfId="1" applyFont="1" applyFill="1" applyBorder="1" applyAlignment="1" applyProtection="1">
      <alignment horizontal="center" vertical="center" wrapText="1"/>
      <protection hidden="1"/>
    </xf>
    <xf numFmtId="0" fontId="22" fillId="11" borderId="164" xfId="1" applyFont="1" applyFill="1" applyBorder="1" applyAlignment="1" applyProtection="1">
      <alignment horizontal="center" vertical="center" wrapText="1"/>
      <protection hidden="1"/>
    </xf>
    <xf numFmtId="0" fontId="22" fillId="11" borderId="165" xfId="1" applyFont="1" applyFill="1" applyBorder="1" applyAlignment="1" applyProtection="1">
      <alignment horizontal="center" vertical="center" wrapText="1"/>
      <protection hidden="1"/>
    </xf>
    <xf numFmtId="0" fontId="22" fillId="11" borderId="166" xfId="1" applyFont="1" applyFill="1" applyBorder="1" applyAlignment="1" applyProtection="1">
      <alignment horizontal="center" vertical="center" wrapText="1"/>
      <protection hidden="1"/>
    </xf>
    <xf numFmtId="0" fontId="21" fillId="10" borderId="0" xfId="1" applyFont="1" applyFill="1" applyAlignment="1" applyProtection="1">
      <alignment horizontal="center" vertical="center" wrapText="1"/>
      <protection hidden="1"/>
    </xf>
    <xf numFmtId="0" fontId="24" fillId="10" borderId="0" xfId="1" applyFont="1" applyFill="1" applyAlignment="1" applyProtection="1">
      <alignment horizontal="center" vertical="center" wrapText="1"/>
      <protection hidden="1"/>
    </xf>
    <xf numFmtId="0" fontId="11" fillId="0" borderId="104" xfId="0" applyFont="1" applyBorder="1" applyAlignment="1" applyProtection="1">
      <alignment horizontal="center"/>
      <protection hidden="1"/>
    </xf>
    <xf numFmtId="0" fontId="11" fillId="0" borderId="105" xfId="0" applyFont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left" wrapText="1"/>
      <protection hidden="1"/>
    </xf>
    <xf numFmtId="0" fontId="1" fillId="4" borderId="0" xfId="0" applyFont="1" applyFill="1" applyBorder="1" applyAlignment="1" applyProtection="1">
      <alignment horizontal="left" wrapText="1"/>
      <protection hidden="1"/>
    </xf>
    <xf numFmtId="0" fontId="1" fillId="4" borderId="5" xfId="0" applyFont="1" applyFill="1" applyBorder="1" applyAlignment="1" applyProtection="1">
      <alignment horizontal="left" wrapText="1"/>
      <protection hidden="1"/>
    </xf>
    <xf numFmtId="0" fontId="1" fillId="4" borderId="7" xfId="0" applyFont="1" applyFill="1" applyBorder="1" applyAlignment="1" applyProtection="1">
      <alignment horizontal="left"/>
      <protection hidden="1"/>
    </xf>
    <xf numFmtId="0" fontId="1" fillId="4" borderId="8" xfId="0" applyFont="1" applyFill="1" applyBorder="1" applyAlignment="1" applyProtection="1">
      <alignment horizontal="left"/>
      <protection hidden="1"/>
    </xf>
    <xf numFmtId="0" fontId="1" fillId="4" borderId="9" xfId="0" applyFont="1" applyFill="1" applyBorder="1" applyAlignment="1" applyProtection="1">
      <alignment horizontal="left"/>
      <protection hidden="1"/>
    </xf>
    <xf numFmtId="0" fontId="1" fillId="4" borderId="21" xfId="0" applyFont="1" applyFill="1" applyBorder="1" applyAlignment="1" applyProtection="1">
      <alignment horizontal="left"/>
      <protection hidden="1"/>
    </xf>
    <xf numFmtId="0" fontId="1" fillId="4" borderId="22" xfId="0" applyFont="1" applyFill="1" applyBorder="1" applyAlignment="1" applyProtection="1">
      <alignment horizontal="left"/>
      <protection hidden="1"/>
    </xf>
    <xf numFmtId="0" fontId="1" fillId="4" borderId="23" xfId="0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left"/>
      <protection hidden="1"/>
    </xf>
    <xf numFmtId="0" fontId="1" fillId="4" borderId="0" xfId="0" applyFont="1" applyFill="1" applyBorder="1" applyAlignment="1" applyProtection="1">
      <alignment horizontal="left"/>
      <protection hidden="1"/>
    </xf>
    <xf numFmtId="0" fontId="1" fillId="4" borderId="5" xfId="0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35" fillId="0" borderId="0" xfId="0" applyFont="1" applyBorder="1" applyAlignment="1" applyProtection="1">
      <alignment horizontal="center" vertical="center" shrinkToFit="1"/>
      <protection hidden="1"/>
    </xf>
    <xf numFmtId="0" fontId="35" fillId="0" borderId="163" xfId="0" applyFont="1" applyBorder="1" applyAlignment="1" applyProtection="1">
      <alignment horizontal="center" vertical="center" shrinkToFit="1"/>
      <protection hidden="1"/>
    </xf>
    <xf numFmtId="0" fontId="1" fillId="8" borderId="30" xfId="0" applyFont="1" applyFill="1" applyBorder="1" applyAlignment="1" applyProtection="1">
      <alignment horizontal="right" vertical="center" shrinkToFit="1"/>
      <protection hidden="1"/>
    </xf>
    <xf numFmtId="0" fontId="0" fillId="8" borderId="28" xfId="0" applyFill="1" applyBorder="1" applyAlignment="1" applyProtection="1">
      <alignment horizontal="right" vertical="center" shrinkToFit="1"/>
      <protection hidden="1"/>
    </xf>
    <xf numFmtId="0" fontId="0" fillId="8" borderId="78" xfId="0" applyFill="1" applyBorder="1" applyAlignment="1" applyProtection="1">
      <alignment horizontal="right" vertical="center" shrinkToFit="1"/>
      <protection hidden="1"/>
    </xf>
    <xf numFmtId="0" fontId="1" fillId="9" borderId="30" xfId="0" applyFont="1" applyFill="1" applyBorder="1" applyAlignment="1" applyProtection="1">
      <alignment horizontal="right" vertical="center" shrinkToFit="1"/>
      <protection hidden="1"/>
    </xf>
    <xf numFmtId="0" fontId="0" fillId="9" borderId="28" xfId="0" applyFill="1" applyBorder="1" applyAlignment="1" applyProtection="1">
      <alignment horizontal="right" vertical="center" shrinkToFit="1"/>
      <protection hidden="1"/>
    </xf>
    <xf numFmtId="0" fontId="0" fillId="9" borderId="78" xfId="0" applyFill="1" applyBorder="1" applyAlignment="1" applyProtection="1">
      <alignment horizontal="right" vertical="center" shrinkToFit="1"/>
      <protection hidden="1"/>
    </xf>
    <xf numFmtId="0" fontId="23" fillId="11" borderId="127" xfId="1" applyFont="1" applyFill="1" applyBorder="1" applyAlignment="1" applyProtection="1">
      <alignment horizontal="center" vertical="center" wrapText="1"/>
      <protection hidden="1"/>
    </xf>
    <xf numFmtId="0" fontId="23" fillId="11" borderId="128" xfId="1" applyFont="1" applyFill="1" applyBorder="1" applyAlignment="1" applyProtection="1">
      <alignment horizontal="center" vertical="center" wrapText="1"/>
      <protection hidden="1"/>
    </xf>
    <xf numFmtId="0" fontId="23" fillId="11" borderId="129" xfId="1" applyFont="1" applyFill="1" applyBorder="1" applyAlignment="1" applyProtection="1">
      <alignment horizontal="center" vertical="center" wrapText="1"/>
      <protection hidden="1"/>
    </xf>
    <xf numFmtId="0" fontId="24" fillId="10" borderId="130" xfId="1" applyFont="1" applyFill="1" applyBorder="1" applyAlignment="1" applyProtection="1">
      <alignment horizontal="center" vertical="center" wrapText="1"/>
      <protection hidden="1"/>
    </xf>
    <xf numFmtId="0" fontId="24" fillId="10" borderId="131" xfId="1" applyFont="1" applyFill="1" applyBorder="1" applyAlignment="1" applyProtection="1">
      <alignment horizontal="center" vertical="center" wrapText="1"/>
      <protection hidden="1"/>
    </xf>
    <xf numFmtId="0" fontId="29" fillId="13" borderId="151" xfId="0" applyFont="1" applyFill="1" applyBorder="1" applyAlignment="1" applyProtection="1">
      <alignment horizontal="center" vertical="center" shrinkToFit="1"/>
      <protection hidden="1"/>
    </xf>
    <xf numFmtId="0" fontId="29" fillId="13" borderId="150" xfId="0" applyFont="1" applyFill="1" applyBorder="1" applyAlignment="1" applyProtection="1">
      <alignment horizontal="center" vertical="center" shrinkToFit="1"/>
      <protection hidden="1"/>
    </xf>
    <xf numFmtId="0" fontId="29" fillId="13" borderId="152" xfId="0" applyFont="1" applyFill="1" applyBorder="1" applyAlignment="1" applyProtection="1">
      <alignment horizontal="center" vertical="center" shrinkToFit="1"/>
      <protection hidden="1"/>
    </xf>
    <xf numFmtId="0" fontId="28" fillId="13" borderId="132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center" wrapText="1"/>
    </xf>
    <xf numFmtId="0" fontId="28" fillId="13" borderId="154" xfId="0" applyFont="1" applyFill="1" applyBorder="1" applyAlignment="1">
      <alignment horizontal="center" vertical="center" wrapText="1"/>
    </xf>
    <xf numFmtId="0" fontId="31" fillId="13" borderId="157" xfId="0" applyFont="1" applyFill="1" applyBorder="1" applyAlignment="1">
      <alignment horizontal="center" wrapText="1"/>
    </xf>
    <xf numFmtId="0" fontId="31" fillId="13" borderId="156" xfId="0" applyFont="1" applyFill="1" applyBorder="1" applyAlignment="1">
      <alignment horizontal="center" wrapText="1"/>
    </xf>
    <xf numFmtId="0" fontId="31" fillId="13" borderId="158" xfId="0" applyFont="1" applyFill="1" applyBorder="1" applyAlignment="1">
      <alignment horizontal="center" wrapText="1"/>
    </xf>
    <xf numFmtId="0" fontId="29" fillId="13" borderId="149" xfId="0" applyFont="1" applyFill="1" applyBorder="1" applyAlignment="1" applyProtection="1">
      <alignment horizontal="center" vertical="center" shrinkToFit="1"/>
      <protection hidden="1"/>
    </xf>
    <xf numFmtId="0" fontId="27" fillId="8" borderId="131" xfId="1" applyFont="1" applyFill="1" applyBorder="1" applyAlignment="1" applyProtection="1">
      <alignment horizontal="center" vertical="center" shrinkToFit="1"/>
      <protection hidden="1"/>
    </xf>
    <xf numFmtId="0" fontId="27" fillId="8" borderId="0" xfId="1" applyFont="1" applyFill="1" applyBorder="1" applyAlignment="1" applyProtection="1">
      <alignment horizontal="center" vertical="center" shrinkToFit="1"/>
      <protection hidden="1"/>
    </xf>
    <xf numFmtId="0" fontId="27" fillId="8" borderId="135" xfId="1" applyFont="1" applyFill="1" applyBorder="1" applyAlignment="1" applyProtection="1">
      <alignment horizontal="center" vertical="center" shrinkToFit="1"/>
      <protection hidden="1"/>
    </xf>
    <xf numFmtId="0" fontId="27" fillId="8" borderId="136" xfId="1" applyFont="1" applyFill="1" applyBorder="1" applyAlignment="1" applyProtection="1">
      <alignment horizontal="center" vertical="center" shrinkToFit="1"/>
      <protection hidden="1"/>
    </xf>
    <xf numFmtId="0" fontId="36" fillId="14" borderId="164" xfId="0" applyFont="1" applyFill="1" applyBorder="1" applyAlignment="1" applyProtection="1">
      <alignment horizontal="center" vertical="center" shrinkToFit="1"/>
      <protection hidden="1"/>
    </xf>
    <xf numFmtId="0" fontId="36" fillId="14" borderId="165" xfId="0" applyFont="1" applyFill="1" applyBorder="1" applyAlignment="1" applyProtection="1">
      <alignment horizontal="center" vertical="center" shrinkToFit="1"/>
      <protection hidden="1"/>
    </xf>
    <xf numFmtId="0" fontId="36" fillId="14" borderId="166" xfId="0" applyFont="1" applyFill="1" applyBorder="1" applyAlignment="1" applyProtection="1">
      <alignment horizontal="center" vertical="center" shrinkToFit="1"/>
      <protection hidden="1"/>
    </xf>
    <xf numFmtId="0" fontId="26" fillId="7" borderId="49" xfId="1" applyFont="1" applyFill="1" applyBorder="1" applyAlignment="1" applyProtection="1">
      <alignment horizontal="center" vertical="center"/>
      <protection hidden="1"/>
    </xf>
    <xf numFmtId="0" fontId="26" fillId="7" borderId="50" xfId="1" applyFont="1" applyFill="1" applyBorder="1" applyAlignment="1" applyProtection="1">
      <alignment horizontal="center" vertical="center"/>
      <protection hidden="1"/>
    </xf>
    <xf numFmtId="0" fontId="26" fillId="7" borderId="51" xfId="1" applyFont="1" applyFill="1" applyBorder="1" applyAlignment="1" applyProtection="1">
      <alignment horizontal="center" vertical="center"/>
      <protection hidden="1"/>
    </xf>
    <xf numFmtId="0" fontId="26" fillId="7" borderId="52" xfId="1" applyFont="1" applyFill="1" applyBorder="1" applyAlignment="1" applyProtection="1">
      <alignment horizontal="center" vertical="center"/>
      <protection hidden="1"/>
    </xf>
    <xf numFmtId="0" fontId="26" fillId="7" borderId="53" xfId="1" applyFont="1" applyFill="1" applyBorder="1" applyAlignment="1" applyProtection="1">
      <alignment horizontal="center" vertical="center"/>
      <protection hidden="1"/>
    </xf>
    <xf numFmtId="0" fontId="26" fillId="7" borderId="54" xfId="1" applyFont="1" applyFill="1" applyBorder="1" applyAlignment="1" applyProtection="1">
      <alignment horizontal="center" vertical="center"/>
      <protection hidden="1"/>
    </xf>
    <xf numFmtId="0" fontId="34" fillId="12" borderId="137" xfId="1" applyFont="1" applyFill="1" applyBorder="1" applyAlignment="1" applyProtection="1">
      <alignment horizontal="center" vertical="center" shrinkToFit="1"/>
      <protection hidden="1"/>
    </xf>
    <xf numFmtId="0" fontId="34" fillId="12" borderId="138" xfId="1" applyFont="1" applyFill="1" applyBorder="1" applyAlignment="1" applyProtection="1">
      <alignment horizontal="center" vertical="center" shrinkToFit="1"/>
      <protection hidden="1"/>
    </xf>
    <xf numFmtId="0" fontId="34" fillId="12" borderId="139" xfId="1" applyFont="1" applyFill="1" applyBorder="1" applyAlignment="1" applyProtection="1">
      <alignment horizontal="center" vertical="center" shrinkToFit="1"/>
      <protection hidden="1"/>
    </xf>
    <xf numFmtId="0" fontId="32" fillId="12" borderId="140" xfId="1" applyFont="1" applyFill="1" applyBorder="1" applyAlignment="1" applyProtection="1">
      <alignment horizontal="center" vertical="center" wrapText="1"/>
      <protection hidden="1"/>
    </xf>
    <xf numFmtId="0" fontId="32" fillId="12" borderId="0" xfId="1" applyFont="1" applyFill="1" applyBorder="1" applyAlignment="1" applyProtection="1">
      <alignment horizontal="center" vertical="center" wrapText="1"/>
      <protection hidden="1"/>
    </xf>
    <xf numFmtId="0" fontId="32" fillId="12" borderId="141" xfId="1" applyFont="1" applyFill="1" applyBorder="1" applyAlignment="1" applyProtection="1">
      <alignment horizontal="center" vertical="center" wrapText="1"/>
      <protection hidden="1"/>
    </xf>
    <xf numFmtId="0" fontId="33" fillId="12" borderId="142" xfId="1" applyFont="1" applyFill="1" applyBorder="1" applyAlignment="1" applyProtection="1">
      <alignment horizontal="center" vertical="center" shrinkToFit="1"/>
      <protection hidden="1"/>
    </xf>
    <xf numFmtId="0" fontId="33" fillId="12" borderId="143" xfId="1" applyFont="1" applyFill="1" applyBorder="1" applyAlignment="1" applyProtection="1">
      <alignment horizontal="center" vertical="center" shrinkToFit="1"/>
      <protection hidden="1"/>
    </xf>
    <xf numFmtId="0" fontId="33" fillId="12" borderId="144" xfId="1" applyFont="1" applyFill="1" applyBorder="1" applyAlignment="1" applyProtection="1">
      <alignment horizontal="center" vertical="center" shrinkToFit="1"/>
      <protection hidden="1"/>
    </xf>
    <xf numFmtId="0" fontId="18" fillId="15" borderId="145" xfId="1" applyFont="1" applyFill="1" applyBorder="1" applyAlignment="1" applyProtection="1">
      <alignment horizontal="left" vertical="center" wrapText="1" indent="4"/>
      <protection hidden="1"/>
    </xf>
    <xf numFmtId="0" fontId="18" fillId="15" borderId="159" xfId="1" applyFont="1" applyFill="1" applyBorder="1" applyAlignment="1" applyProtection="1">
      <alignment horizontal="left" vertical="center" wrapText="1" indent="4"/>
      <protection hidden="1"/>
    </xf>
    <xf numFmtId="0" fontId="18" fillId="15" borderId="0" xfId="1" applyFont="1" applyFill="1" applyBorder="1" applyAlignment="1" applyProtection="1">
      <alignment horizontal="left" vertical="center" wrapText="1" indent="4"/>
      <protection hidden="1"/>
    </xf>
    <xf numFmtId="0" fontId="18" fillId="15" borderId="154" xfId="1" applyFont="1" applyFill="1" applyBorder="1" applyAlignment="1" applyProtection="1">
      <alignment horizontal="left" vertical="center" wrapText="1" indent="4"/>
      <protection hidden="1"/>
    </xf>
    <xf numFmtId="0" fontId="18" fillId="15" borderId="161" xfId="1" applyFont="1" applyFill="1" applyBorder="1" applyAlignment="1" applyProtection="1">
      <alignment horizontal="left" vertical="center" wrapText="1" indent="4"/>
      <protection hidden="1"/>
    </xf>
    <xf numFmtId="0" fontId="18" fillId="15" borderId="162" xfId="1" applyFont="1" applyFill="1" applyBorder="1" applyAlignment="1" applyProtection="1">
      <alignment horizontal="left" vertical="center" wrapText="1" indent="4"/>
      <protection hidden="1"/>
    </xf>
    <xf numFmtId="0" fontId="25" fillId="15" borderId="148" xfId="1" applyFont="1" applyFill="1" applyBorder="1" applyAlignment="1" applyProtection="1">
      <alignment horizontal="center" vertical="center" shrinkToFit="1"/>
      <protection hidden="1"/>
    </xf>
    <xf numFmtId="0" fontId="25" fillId="15" borderId="146" xfId="1" applyFont="1" applyFill="1" applyBorder="1" applyAlignment="1" applyProtection="1">
      <alignment horizontal="center" vertical="center" shrinkToFit="1"/>
      <protection hidden="1"/>
    </xf>
    <xf numFmtId="0" fontId="1" fillId="8" borderId="48" xfId="0" applyFont="1" applyFill="1" applyBorder="1" applyAlignment="1" applyProtection="1">
      <alignment horizontal="right" vertical="center" shrinkToFit="1"/>
      <protection hidden="1"/>
    </xf>
    <xf numFmtId="0" fontId="0" fillId="8" borderId="46" xfId="0" applyFill="1" applyBorder="1" applyAlignment="1" applyProtection="1">
      <alignment horizontal="right" vertical="center" shrinkToFit="1"/>
      <protection hidden="1"/>
    </xf>
    <xf numFmtId="0" fontId="0" fillId="8" borderId="76" xfId="0" applyFill="1" applyBorder="1" applyAlignment="1" applyProtection="1">
      <alignment horizontal="right" vertical="center" shrinkToFit="1"/>
      <protection hidden="1"/>
    </xf>
    <xf numFmtId="0" fontId="1" fillId="8" borderId="67" xfId="0" applyFont="1" applyFill="1" applyBorder="1" applyAlignment="1" applyProtection="1">
      <alignment horizontal="right" vertical="center" shrinkToFit="1"/>
      <protection hidden="1"/>
    </xf>
    <xf numFmtId="0" fontId="0" fillId="8" borderId="65" xfId="0" applyFill="1" applyBorder="1" applyAlignment="1" applyProtection="1">
      <alignment horizontal="right" vertical="center" shrinkToFit="1"/>
      <protection hidden="1"/>
    </xf>
    <xf numFmtId="0" fontId="0" fillId="8" borderId="80" xfId="0" applyFill="1" applyBorder="1" applyAlignment="1" applyProtection="1">
      <alignment horizontal="right" vertical="center" shrinkToFit="1"/>
      <protection hidden="1"/>
    </xf>
    <xf numFmtId="0" fontId="12" fillId="5" borderId="58" xfId="0" applyFont="1" applyFill="1" applyBorder="1" applyAlignment="1" applyProtection="1">
      <alignment horizontal="center" vertical="center"/>
      <protection hidden="1"/>
    </xf>
    <xf numFmtId="0" fontId="12" fillId="5" borderId="59" xfId="0" applyFont="1" applyFill="1" applyBorder="1" applyAlignment="1" applyProtection="1">
      <alignment horizontal="center" vertical="center"/>
      <protection hidden="1"/>
    </xf>
    <xf numFmtId="0" fontId="12" fillId="5" borderId="72" xfId="0" applyFont="1" applyFill="1" applyBorder="1" applyAlignment="1" applyProtection="1">
      <alignment horizontal="center" vertical="center"/>
      <protection hidden="1"/>
    </xf>
    <xf numFmtId="0" fontId="12" fillId="5" borderId="73" xfId="0" applyFont="1" applyFill="1" applyBorder="1" applyAlignment="1" applyProtection="1">
      <alignment horizontal="center" vertical="center"/>
      <protection hidden="1"/>
    </xf>
    <xf numFmtId="0" fontId="12" fillId="5" borderId="53" xfId="0" applyFont="1" applyFill="1" applyBorder="1" applyAlignment="1" applyProtection="1">
      <alignment horizontal="center" vertical="center"/>
      <protection hidden="1"/>
    </xf>
    <xf numFmtId="0" fontId="12" fillId="5" borderId="74" xfId="0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 wrapText="1"/>
      <protection hidden="1"/>
    </xf>
    <xf numFmtId="0" fontId="37" fillId="6" borderId="123" xfId="1" applyFont="1" applyFill="1" applyBorder="1" applyAlignment="1" applyProtection="1">
      <alignment horizontal="center"/>
      <protection hidden="1"/>
    </xf>
    <xf numFmtId="0" fontId="37" fillId="6" borderId="124" xfId="1" applyFont="1" applyFill="1" applyBorder="1" applyAlignment="1" applyProtection="1">
      <alignment horizontal="center"/>
      <protection hidden="1"/>
    </xf>
    <xf numFmtId="0" fontId="37" fillId="6" borderId="125" xfId="1" applyFont="1" applyFill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0" borderId="118" xfId="0" applyFont="1" applyBorder="1" applyAlignment="1" applyProtection="1">
      <alignment horizontal="center" vertical="center" shrinkToFit="1"/>
      <protection hidden="1"/>
    </xf>
    <xf numFmtId="0" fontId="10" fillId="0" borderId="45" xfId="0" applyFont="1" applyBorder="1" applyAlignment="1" applyProtection="1">
      <alignment horizontal="center" vertical="center" shrinkToFit="1"/>
      <protection hidden="1"/>
    </xf>
    <xf numFmtId="0" fontId="10" fillId="0" borderId="119" xfId="0" applyFont="1" applyBorder="1" applyAlignment="1" applyProtection="1">
      <alignment horizontal="center" vertical="center" shrinkToFit="1"/>
      <protection hidden="1"/>
    </xf>
    <xf numFmtId="0" fontId="10" fillId="0" borderId="120" xfId="0" applyFont="1" applyBorder="1" applyAlignment="1" applyProtection="1">
      <alignment horizontal="center" vertical="center" shrinkToFit="1"/>
      <protection hidden="1"/>
    </xf>
    <xf numFmtId="0" fontId="10" fillId="0" borderId="121" xfId="0" applyFont="1" applyBorder="1" applyAlignment="1" applyProtection="1">
      <alignment horizontal="center" vertical="center" shrinkToFit="1"/>
      <protection hidden="1"/>
    </xf>
    <xf numFmtId="0" fontId="10" fillId="0" borderId="122" xfId="0" applyFont="1" applyBorder="1" applyAlignment="1" applyProtection="1">
      <alignment horizontal="center" vertical="center" shrinkToFit="1"/>
      <protection hidden="1"/>
    </xf>
    <xf numFmtId="0" fontId="12" fillId="5" borderId="49" xfId="0" applyFont="1" applyFill="1" applyBorder="1" applyAlignment="1" applyProtection="1">
      <alignment horizontal="center" vertical="center"/>
      <protection hidden="1"/>
    </xf>
    <xf numFmtId="0" fontId="12" fillId="5" borderId="50" xfId="0" applyFont="1" applyFill="1" applyBorder="1" applyAlignment="1" applyProtection="1">
      <alignment horizontal="center" vertical="center"/>
      <protection hidden="1"/>
    </xf>
    <xf numFmtId="0" fontId="12" fillId="5" borderId="51" xfId="0" applyFont="1" applyFill="1" applyBorder="1" applyAlignment="1" applyProtection="1">
      <alignment horizontal="center" vertical="center"/>
      <protection hidden="1"/>
    </xf>
    <xf numFmtId="0" fontId="12" fillId="5" borderId="52" xfId="0" applyFont="1" applyFill="1" applyBorder="1" applyAlignment="1" applyProtection="1">
      <alignment horizontal="center" vertical="center"/>
      <protection hidden="1"/>
    </xf>
    <xf numFmtId="0" fontId="12" fillId="5" borderId="54" xfId="0" applyFont="1" applyFill="1" applyBorder="1" applyAlignment="1" applyProtection="1">
      <alignment horizontal="center" vertical="center"/>
      <protection hidden="1"/>
    </xf>
    <xf numFmtId="0" fontId="12" fillId="5" borderId="115" xfId="0" applyFont="1" applyFill="1" applyBorder="1" applyAlignment="1" applyProtection="1">
      <alignment horizontal="center" vertical="center"/>
      <protection hidden="1"/>
    </xf>
    <xf numFmtId="0" fontId="12" fillId="5" borderId="107" xfId="0" applyFont="1" applyFill="1" applyBorder="1" applyAlignment="1" applyProtection="1">
      <alignment horizontal="center" vertical="center"/>
      <protection hidden="1"/>
    </xf>
    <xf numFmtId="0" fontId="11" fillId="6" borderId="60" xfId="0" applyFont="1" applyFill="1" applyBorder="1" applyAlignment="1" applyProtection="1">
      <alignment horizontal="center" vertical="center"/>
      <protection locked="0"/>
    </xf>
    <xf numFmtId="0" fontId="11" fillId="6" borderId="61" xfId="0" applyFont="1" applyFill="1" applyBorder="1" applyAlignment="1" applyProtection="1">
      <alignment horizontal="center" vertical="center"/>
      <protection locked="0"/>
    </xf>
    <xf numFmtId="0" fontId="11" fillId="6" borderId="106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 wrapText="1"/>
      <protection hidden="1"/>
    </xf>
  </cellXfs>
  <cellStyles count="3">
    <cellStyle name="Гиперссылка" xfId="1" builtinId="8"/>
    <cellStyle name="Обычный" xfId="0" builtinId="0"/>
    <cellStyle name="Обычный 2" xfId="2"/>
  </cellStyles>
  <dxfs count="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rgb="FFFFFF0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0000FF"/>
      <color rgb="FFFFFFCC"/>
      <color rgb="FFE65401"/>
      <color rgb="FFE65303"/>
      <color rgb="FFCFDEAC"/>
      <color rgb="FFEC32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://www.xabardor.uz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png"/><Relationship Id="rId18" Type="http://schemas.openxmlformats.org/officeDocument/2006/relationships/hyperlink" Target="http://www.xabardor.uz/" TargetMode="External"/><Relationship Id="rId26" Type="http://schemas.openxmlformats.org/officeDocument/2006/relationships/image" Target="../media/image25.JPG"/><Relationship Id="rId39" Type="http://schemas.openxmlformats.org/officeDocument/2006/relationships/hyperlink" Target="https://www.facebook.com/Chustiy.Cuisine" TargetMode="External"/><Relationship Id="rId3" Type="http://schemas.openxmlformats.org/officeDocument/2006/relationships/image" Target="../media/image6.png"/><Relationship Id="rId21" Type="http://schemas.openxmlformats.org/officeDocument/2006/relationships/image" Target="../media/image21.gif"/><Relationship Id="rId34" Type="http://schemas.openxmlformats.org/officeDocument/2006/relationships/hyperlink" Target="http://www.daryo.uz/" TargetMode="External"/><Relationship Id="rId42" Type="http://schemas.openxmlformats.org/officeDocument/2006/relationships/image" Target="../media/image35.jpe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17" Type="http://schemas.openxmlformats.org/officeDocument/2006/relationships/image" Target="../media/image20.png"/><Relationship Id="rId25" Type="http://schemas.openxmlformats.org/officeDocument/2006/relationships/hyperlink" Target="http://www.telegraf.uz/" TargetMode="External"/><Relationship Id="rId33" Type="http://schemas.openxmlformats.org/officeDocument/2006/relationships/image" Target="../media/image29.png"/><Relationship Id="rId38" Type="http://schemas.openxmlformats.org/officeDocument/2006/relationships/image" Target="../media/image32.jpg"/><Relationship Id="rId2" Type="http://schemas.openxmlformats.org/officeDocument/2006/relationships/image" Target="../media/image5.png"/><Relationship Id="rId16" Type="http://schemas.openxmlformats.org/officeDocument/2006/relationships/image" Target="../media/image19.png"/><Relationship Id="rId20" Type="http://schemas.openxmlformats.org/officeDocument/2006/relationships/hyperlink" Target="http://www.xushnudbek.uz" TargetMode="External"/><Relationship Id="rId29" Type="http://schemas.openxmlformats.org/officeDocument/2006/relationships/hyperlink" Target="http://www.kun.uz/" TargetMode="External"/><Relationship Id="rId41" Type="http://schemas.openxmlformats.org/officeDocument/2006/relationships/image" Target="../media/image34.jpe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24" Type="http://schemas.openxmlformats.org/officeDocument/2006/relationships/image" Target="../media/image24.jpg"/><Relationship Id="rId32" Type="http://schemas.openxmlformats.org/officeDocument/2006/relationships/hyperlink" Target="http://www.stadion.uz/" TargetMode="External"/><Relationship Id="rId37" Type="http://schemas.openxmlformats.org/officeDocument/2006/relationships/image" Target="../media/image31.png"/><Relationship Id="rId40" Type="http://schemas.openxmlformats.org/officeDocument/2006/relationships/image" Target="../media/image33.jpeg"/><Relationship Id="rId5" Type="http://schemas.openxmlformats.org/officeDocument/2006/relationships/image" Target="../media/image8.png"/><Relationship Id="rId15" Type="http://schemas.openxmlformats.org/officeDocument/2006/relationships/image" Target="../media/image18.png"/><Relationship Id="rId23" Type="http://schemas.openxmlformats.org/officeDocument/2006/relationships/image" Target="../media/image23.jpg"/><Relationship Id="rId28" Type="http://schemas.openxmlformats.org/officeDocument/2006/relationships/image" Target="../media/image26.jpg"/><Relationship Id="rId36" Type="http://schemas.openxmlformats.org/officeDocument/2006/relationships/hyperlink" Target="http://www.uff.uz/" TargetMode="External"/><Relationship Id="rId10" Type="http://schemas.openxmlformats.org/officeDocument/2006/relationships/image" Target="../media/image13.png"/><Relationship Id="rId19" Type="http://schemas.openxmlformats.org/officeDocument/2006/relationships/image" Target="../media/image1.jpg"/><Relationship Id="rId31" Type="http://schemas.openxmlformats.org/officeDocument/2006/relationships/image" Target="../media/image28.jpg"/><Relationship Id="rId4" Type="http://schemas.openxmlformats.org/officeDocument/2006/relationships/image" Target="../media/image7.png"/><Relationship Id="rId9" Type="http://schemas.openxmlformats.org/officeDocument/2006/relationships/image" Target="../media/image12.png"/><Relationship Id="rId14" Type="http://schemas.openxmlformats.org/officeDocument/2006/relationships/image" Target="../media/image17.png"/><Relationship Id="rId22" Type="http://schemas.openxmlformats.org/officeDocument/2006/relationships/image" Target="../media/image22.jpeg"/><Relationship Id="rId27" Type="http://schemas.openxmlformats.org/officeDocument/2006/relationships/hyperlink" Target="http://www.championat.asia/" TargetMode="External"/><Relationship Id="rId30" Type="http://schemas.openxmlformats.org/officeDocument/2006/relationships/image" Target="../media/image27.jpg"/><Relationship Id="rId35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430696</xdr:colOff>
      <xdr:row>1</xdr:row>
      <xdr:rowOff>24850</xdr:rowOff>
    </xdr:from>
    <xdr:to>
      <xdr:col>10</xdr:col>
      <xdr:colOff>877956</xdr:colOff>
      <xdr:row>1</xdr:row>
      <xdr:rowOff>407054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9066" y="695741"/>
          <a:ext cx="447260" cy="382204"/>
        </a:xfrm>
        <a:prstGeom prst="rect">
          <a:avLst/>
        </a:prstGeom>
      </xdr:spPr>
    </xdr:pic>
    <xdr:clientData/>
  </xdr:twoCellAnchor>
  <xdr:twoCellAnchor editAs="oneCell">
    <xdr:from>
      <xdr:col>20</xdr:col>
      <xdr:colOff>140805</xdr:colOff>
      <xdr:row>2</xdr:row>
      <xdr:rowOff>132522</xdr:rowOff>
    </xdr:from>
    <xdr:to>
      <xdr:col>40</xdr:col>
      <xdr:colOff>530088</xdr:colOff>
      <xdr:row>23</xdr:row>
      <xdr:rowOff>37272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1" y="1234109"/>
          <a:ext cx="2857500" cy="3524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35093</xdr:colOff>
      <xdr:row>26</xdr:row>
      <xdr:rowOff>30079</xdr:rowOff>
    </xdr:from>
    <xdr:to>
      <xdr:col>7</xdr:col>
      <xdr:colOff>254168</xdr:colOff>
      <xdr:row>26</xdr:row>
      <xdr:rowOff>144379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6067" y="4792579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1253463</xdr:colOff>
      <xdr:row>17</xdr:row>
      <xdr:rowOff>30079</xdr:rowOff>
    </xdr:from>
    <xdr:to>
      <xdr:col>4</xdr:col>
      <xdr:colOff>1472538</xdr:colOff>
      <xdr:row>17</xdr:row>
      <xdr:rowOff>144379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4153" y="3367113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1254776</xdr:colOff>
      <xdr:row>33</xdr:row>
      <xdr:rowOff>37961</xdr:rowOff>
    </xdr:from>
    <xdr:to>
      <xdr:col>4</xdr:col>
      <xdr:colOff>1473851</xdr:colOff>
      <xdr:row>33</xdr:row>
      <xdr:rowOff>152261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5466" y="6002582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4</xdr:col>
      <xdr:colOff>1248103</xdr:colOff>
      <xdr:row>15</xdr:row>
      <xdr:rowOff>39414</xdr:rowOff>
    </xdr:from>
    <xdr:to>
      <xdr:col>4</xdr:col>
      <xdr:colOff>1467178</xdr:colOff>
      <xdr:row>15</xdr:row>
      <xdr:rowOff>153714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8793" y="3048000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1257700</xdr:colOff>
      <xdr:row>31</xdr:row>
      <xdr:rowOff>34159</xdr:rowOff>
    </xdr:from>
    <xdr:to>
      <xdr:col>4</xdr:col>
      <xdr:colOff>1476775</xdr:colOff>
      <xdr:row>31</xdr:row>
      <xdr:rowOff>148459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61" y="5682898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28903</xdr:colOff>
      <xdr:row>24</xdr:row>
      <xdr:rowOff>28904</xdr:rowOff>
    </xdr:from>
    <xdr:to>
      <xdr:col>7</xdr:col>
      <xdr:colOff>247978</xdr:colOff>
      <xdr:row>24</xdr:row>
      <xdr:rowOff>143204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3334" y="4515507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34559</xdr:colOff>
      <xdr:row>15</xdr:row>
      <xdr:rowOff>26276</xdr:rowOff>
    </xdr:from>
    <xdr:to>
      <xdr:col>7</xdr:col>
      <xdr:colOff>253634</xdr:colOff>
      <xdr:row>15</xdr:row>
      <xdr:rowOff>140576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5559" y="3024580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34159</xdr:colOff>
      <xdr:row>23</xdr:row>
      <xdr:rowOff>27590</xdr:rowOff>
    </xdr:from>
    <xdr:to>
      <xdr:col>7</xdr:col>
      <xdr:colOff>253234</xdr:colOff>
      <xdr:row>23</xdr:row>
      <xdr:rowOff>141890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590" y="4349969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35473</xdr:colOff>
      <xdr:row>32</xdr:row>
      <xdr:rowOff>28903</xdr:rowOff>
    </xdr:from>
    <xdr:to>
      <xdr:col>7</xdr:col>
      <xdr:colOff>254548</xdr:colOff>
      <xdr:row>32</xdr:row>
      <xdr:rowOff>143203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904" y="5829300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4</xdr:col>
      <xdr:colOff>1234965</xdr:colOff>
      <xdr:row>16</xdr:row>
      <xdr:rowOff>13138</xdr:rowOff>
    </xdr:from>
    <xdr:to>
      <xdr:col>4</xdr:col>
      <xdr:colOff>1454040</xdr:colOff>
      <xdr:row>16</xdr:row>
      <xdr:rowOff>156013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5655" y="3185948"/>
          <a:ext cx="2190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1236279</xdr:colOff>
      <xdr:row>23</xdr:row>
      <xdr:rowOff>14452</xdr:rowOff>
    </xdr:from>
    <xdr:to>
      <xdr:col>4</xdr:col>
      <xdr:colOff>1455354</xdr:colOff>
      <xdr:row>23</xdr:row>
      <xdr:rowOff>166096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969" y="4336831"/>
          <a:ext cx="2190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15765</xdr:colOff>
      <xdr:row>31</xdr:row>
      <xdr:rowOff>15766</xdr:rowOff>
    </xdr:from>
    <xdr:to>
      <xdr:col>7</xdr:col>
      <xdr:colOff>234840</xdr:colOff>
      <xdr:row>31</xdr:row>
      <xdr:rowOff>167411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196" y="5651938"/>
          <a:ext cx="2190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32845</xdr:colOff>
      <xdr:row>16</xdr:row>
      <xdr:rowOff>39414</xdr:rowOff>
    </xdr:from>
    <xdr:to>
      <xdr:col>7</xdr:col>
      <xdr:colOff>251920</xdr:colOff>
      <xdr:row>16</xdr:row>
      <xdr:rowOff>153714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7276" y="3212224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4</xdr:col>
      <xdr:colOff>1249417</xdr:colOff>
      <xdr:row>24</xdr:row>
      <xdr:rowOff>34159</xdr:rowOff>
    </xdr:from>
    <xdr:to>
      <xdr:col>4</xdr:col>
      <xdr:colOff>1468492</xdr:colOff>
      <xdr:row>24</xdr:row>
      <xdr:rowOff>148459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0107" y="4520762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1252445</xdr:colOff>
      <xdr:row>32</xdr:row>
      <xdr:rowOff>28903</xdr:rowOff>
    </xdr:from>
    <xdr:to>
      <xdr:col>4</xdr:col>
      <xdr:colOff>1471520</xdr:colOff>
      <xdr:row>32</xdr:row>
      <xdr:rowOff>143203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706" y="5843294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32845</xdr:colOff>
      <xdr:row>17</xdr:row>
      <xdr:rowOff>32845</xdr:rowOff>
    </xdr:from>
    <xdr:to>
      <xdr:col>7</xdr:col>
      <xdr:colOff>251920</xdr:colOff>
      <xdr:row>17</xdr:row>
      <xdr:rowOff>147145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7276" y="3369879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1255986</xdr:colOff>
      <xdr:row>25</xdr:row>
      <xdr:rowOff>27589</xdr:rowOff>
    </xdr:from>
    <xdr:to>
      <xdr:col>4</xdr:col>
      <xdr:colOff>1475061</xdr:colOff>
      <xdr:row>25</xdr:row>
      <xdr:rowOff>141889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6676" y="4678417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35472</xdr:colOff>
      <xdr:row>34</xdr:row>
      <xdr:rowOff>28903</xdr:rowOff>
    </xdr:from>
    <xdr:to>
      <xdr:col>7</xdr:col>
      <xdr:colOff>254547</xdr:colOff>
      <xdr:row>34</xdr:row>
      <xdr:rowOff>143203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903" y="6157748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4</xdr:col>
      <xdr:colOff>1261241</xdr:colOff>
      <xdr:row>18</xdr:row>
      <xdr:rowOff>33079</xdr:rowOff>
    </xdr:from>
    <xdr:to>
      <xdr:col>4</xdr:col>
      <xdr:colOff>1480316</xdr:colOff>
      <xdr:row>18</xdr:row>
      <xdr:rowOff>136073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6998" y="3532836"/>
          <a:ext cx="219075" cy="102994"/>
        </a:xfrm>
        <a:prstGeom prst="rect">
          <a:avLst/>
        </a:prstGeom>
      </xdr:spPr>
    </xdr:pic>
    <xdr:clientData/>
  </xdr:twoCellAnchor>
  <xdr:twoCellAnchor editAs="oneCell">
    <xdr:from>
      <xdr:col>7</xdr:col>
      <xdr:colOff>36598</xdr:colOff>
      <xdr:row>33</xdr:row>
      <xdr:rowOff>33078</xdr:rowOff>
    </xdr:from>
    <xdr:to>
      <xdr:col>7</xdr:col>
      <xdr:colOff>255673</xdr:colOff>
      <xdr:row>33</xdr:row>
      <xdr:rowOff>136072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7598" y="5982121"/>
          <a:ext cx="219075" cy="102994"/>
        </a:xfrm>
        <a:prstGeom prst="rect">
          <a:avLst/>
        </a:prstGeom>
      </xdr:spPr>
    </xdr:pic>
    <xdr:clientData/>
  </xdr:twoCellAnchor>
  <xdr:twoCellAnchor editAs="oneCell">
    <xdr:from>
      <xdr:col>7</xdr:col>
      <xdr:colOff>31155</xdr:colOff>
      <xdr:row>25</xdr:row>
      <xdr:rowOff>27636</xdr:rowOff>
    </xdr:from>
    <xdr:to>
      <xdr:col>7</xdr:col>
      <xdr:colOff>250230</xdr:colOff>
      <xdr:row>25</xdr:row>
      <xdr:rowOff>130630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155" y="4670393"/>
          <a:ext cx="219075" cy="102994"/>
        </a:xfrm>
        <a:prstGeom prst="rect">
          <a:avLst/>
        </a:prstGeom>
      </xdr:spPr>
    </xdr:pic>
    <xdr:clientData/>
  </xdr:twoCellAnchor>
  <xdr:twoCellAnchor editAs="oneCell">
    <xdr:from>
      <xdr:col>7</xdr:col>
      <xdr:colOff>32658</xdr:colOff>
      <xdr:row>18</xdr:row>
      <xdr:rowOff>28575</xdr:rowOff>
    </xdr:from>
    <xdr:to>
      <xdr:col>7</xdr:col>
      <xdr:colOff>251733</xdr:colOff>
      <xdr:row>18</xdr:row>
      <xdr:rowOff>136073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3658" y="3528332"/>
          <a:ext cx="219075" cy="10749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34</xdr:row>
      <xdr:rowOff>34018</xdr:rowOff>
    </xdr:from>
    <xdr:to>
      <xdr:col>4</xdr:col>
      <xdr:colOff>1476376</xdr:colOff>
      <xdr:row>34</xdr:row>
      <xdr:rowOff>141516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3058" y="6146347"/>
          <a:ext cx="219075" cy="107498"/>
        </a:xfrm>
        <a:prstGeom prst="rect">
          <a:avLst/>
        </a:prstGeom>
      </xdr:spPr>
    </xdr:pic>
    <xdr:clientData/>
  </xdr:twoCellAnchor>
  <xdr:twoCellAnchor editAs="oneCell">
    <xdr:from>
      <xdr:col>4</xdr:col>
      <xdr:colOff>1251858</xdr:colOff>
      <xdr:row>26</xdr:row>
      <xdr:rowOff>23131</xdr:rowOff>
    </xdr:from>
    <xdr:to>
      <xdr:col>4</xdr:col>
      <xdr:colOff>1470933</xdr:colOff>
      <xdr:row>26</xdr:row>
      <xdr:rowOff>130629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615" y="4829174"/>
          <a:ext cx="219075" cy="10749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21771</xdr:rowOff>
    </xdr:from>
    <xdr:to>
      <xdr:col>4</xdr:col>
      <xdr:colOff>1476375</xdr:colOff>
      <xdr:row>19</xdr:row>
      <xdr:rowOff>145596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3057" y="3684814"/>
          <a:ext cx="219075" cy="123825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35</xdr:row>
      <xdr:rowOff>21771</xdr:rowOff>
    </xdr:from>
    <xdr:to>
      <xdr:col>4</xdr:col>
      <xdr:colOff>1476375</xdr:colOff>
      <xdr:row>35</xdr:row>
      <xdr:rowOff>145596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3057" y="6297385"/>
          <a:ext cx="219075" cy="123825"/>
        </a:xfrm>
        <a:prstGeom prst="rect">
          <a:avLst/>
        </a:prstGeom>
      </xdr:spPr>
    </xdr:pic>
    <xdr:clientData/>
  </xdr:twoCellAnchor>
  <xdr:twoCellAnchor editAs="oneCell">
    <xdr:from>
      <xdr:col>7</xdr:col>
      <xdr:colOff>32657</xdr:colOff>
      <xdr:row>28</xdr:row>
      <xdr:rowOff>21772</xdr:rowOff>
    </xdr:from>
    <xdr:to>
      <xdr:col>7</xdr:col>
      <xdr:colOff>251732</xdr:colOff>
      <xdr:row>28</xdr:row>
      <xdr:rowOff>145597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3657" y="5154386"/>
          <a:ext cx="219075" cy="123825"/>
        </a:xfrm>
        <a:prstGeom prst="rect">
          <a:avLst/>
        </a:prstGeom>
      </xdr:spPr>
    </xdr:pic>
    <xdr:clientData/>
  </xdr:twoCellAnchor>
  <xdr:twoCellAnchor editAs="oneCell">
    <xdr:from>
      <xdr:col>7</xdr:col>
      <xdr:colOff>27876</xdr:colOff>
      <xdr:row>19</xdr:row>
      <xdr:rowOff>31129</xdr:rowOff>
    </xdr:from>
    <xdr:to>
      <xdr:col>7</xdr:col>
      <xdr:colOff>246951</xdr:colOff>
      <xdr:row>19</xdr:row>
      <xdr:rowOff>139389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4230" y="3678507"/>
          <a:ext cx="219075" cy="108260"/>
        </a:xfrm>
        <a:prstGeom prst="rect">
          <a:avLst/>
        </a:prstGeom>
      </xdr:spPr>
    </xdr:pic>
    <xdr:clientData/>
  </xdr:twoCellAnchor>
  <xdr:twoCellAnchor editAs="oneCell">
    <xdr:from>
      <xdr:col>7</xdr:col>
      <xdr:colOff>36239</xdr:colOff>
      <xdr:row>36</xdr:row>
      <xdr:rowOff>30200</xdr:rowOff>
    </xdr:from>
    <xdr:to>
      <xdr:col>7</xdr:col>
      <xdr:colOff>255314</xdr:colOff>
      <xdr:row>36</xdr:row>
      <xdr:rowOff>138460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593" y="6442151"/>
          <a:ext cx="219075" cy="108260"/>
        </a:xfrm>
        <a:prstGeom prst="rect">
          <a:avLst/>
        </a:prstGeom>
      </xdr:spPr>
    </xdr:pic>
    <xdr:clientData/>
  </xdr:twoCellAnchor>
  <xdr:twoCellAnchor editAs="oneCell">
    <xdr:from>
      <xdr:col>4</xdr:col>
      <xdr:colOff>1248006</xdr:colOff>
      <xdr:row>27</xdr:row>
      <xdr:rowOff>29270</xdr:rowOff>
    </xdr:from>
    <xdr:to>
      <xdr:col>4</xdr:col>
      <xdr:colOff>1467081</xdr:colOff>
      <xdr:row>27</xdr:row>
      <xdr:rowOff>137530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2701" y="4977624"/>
          <a:ext cx="219075" cy="10826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1259159</xdr:colOff>
      <xdr:row>20</xdr:row>
      <xdr:rowOff>27878</xdr:rowOff>
    </xdr:from>
    <xdr:to>
      <xdr:col>4</xdr:col>
      <xdr:colOff>1478234</xdr:colOff>
      <xdr:row>20</xdr:row>
      <xdr:rowOff>142178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3854" y="3837878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40888</xdr:colOff>
      <xdr:row>35</xdr:row>
      <xdr:rowOff>26949</xdr:rowOff>
    </xdr:from>
    <xdr:to>
      <xdr:col>7</xdr:col>
      <xdr:colOff>259963</xdr:colOff>
      <xdr:row>35</xdr:row>
      <xdr:rowOff>141249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7242" y="6276278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30666</xdr:colOff>
      <xdr:row>27</xdr:row>
      <xdr:rowOff>26019</xdr:rowOff>
    </xdr:from>
    <xdr:to>
      <xdr:col>7</xdr:col>
      <xdr:colOff>249741</xdr:colOff>
      <xdr:row>27</xdr:row>
      <xdr:rowOff>140319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7020" y="4974373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27878</xdr:colOff>
      <xdr:row>20</xdr:row>
      <xdr:rowOff>37173</xdr:rowOff>
    </xdr:from>
    <xdr:to>
      <xdr:col>7</xdr:col>
      <xdr:colOff>246953</xdr:colOff>
      <xdr:row>20</xdr:row>
      <xdr:rowOff>122898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4232" y="3847173"/>
          <a:ext cx="219075" cy="85725"/>
        </a:xfrm>
        <a:prstGeom prst="rect">
          <a:avLst/>
        </a:prstGeom>
      </xdr:spPr>
    </xdr:pic>
    <xdr:clientData/>
  </xdr:twoCellAnchor>
  <xdr:twoCellAnchor editAs="oneCell">
    <xdr:from>
      <xdr:col>4</xdr:col>
      <xdr:colOff>1258230</xdr:colOff>
      <xdr:row>36</xdr:row>
      <xdr:rowOff>36244</xdr:rowOff>
    </xdr:from>
    <xdr:to>
      <xdr:col>4</xdr:col>
      <xdr:colOff>1477305</xdr:colOff>
      <xdr:row>36</xdr:row>
      <xdr:rowOff>121969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2925" y="6448195"/>
          <a:ext cx="219075" cy="85725"/>
        </a:xfrm>
        <a:prstGeom prst="rect">
          <a:avLst/>
        </a:prstGeom>
      </xdr:spPr>
    </xdr:pic>
    <xdr:clientData/>
  </xdr:twoCellAnchor>
  <xdr:twoCellAnchor editAs="oneCell">
    <xdr:from>
      <xdr:col>4</xdr:col>
      <xdr:colOff>1248008</xdr:colOff>
      <xdr:row>28</xdr:row>
      <xdr:rowOff>44607</xdr:rowOff>
    </xdr:from>
    <xdr:to>
      <xdr:col>4</xdr:col>
      <xdr:colOff>1467083</xdr:colOff>
      <xdr:row>28</xdr:row>
      <xdr:rowOff>130332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2703" y="5155583"/>
          <a:ext cx="219075" cy="85725"/>
        </a:xfrm>
        <a:prstGeom prst="rect">
          <a:avLst/>
        </a:prstGeom>
      </xdr:spPr>
    </xdr:pic>
    <xdr:clientData/>
  </xdr:twoCellAnchor>
  <xdr:twoCellAnchor editAs="oneCell">
    <xdr:from>
      <xdr:col>4</xdr:col>
      <xdr:colOff>1263805</xdr:colOff>
      <xdr:row>21</xdr:row>
      <xdr:rowOff>13939</xdr:rowOff>
    </xdr:from>
    <xdr:to>
      <xdr:col>4</xdr:col>
      <xdr:colOff>1482880</xdr:colOff>
      <xdr:row>21</xdr:row>
      <xdr:rowOff>156814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986561"/>
          <a:ext cx="2190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1272168</xdr:colOff>
      <xdr:row>37</xdr:row>
      <xdr:rowOff>13010</xdr:rowOff>
    </xdr:from>
    <xdr:to>
      <xdr:col>4</xdr:col>
      <xdr:colOff>1491243</xdr:colOff>
      <xdr:row>37</xdr:row>
      <xdr:rowOff>155885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6863" y="6587583"/>
          <a:ext cx="2190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49251</xdr:colOff>
      <xdr:row>30</xdr:row>
      <xdr:rowOff>16726</xdr:rowOff>
    </xdr:from>
    <xdr:to>
      <xdr:col>7</xdr:col>
      <xdr:colOff>268326</xdr:colOff>
      <xdr:row>30</xdr:row>
      <xdr:rowOff>168371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5605" y="5452946"/>
          <a:ext cx="2190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37171</xdr:colOff>
      <xdr:row>21</xdr:row>
      <xdr:rowOff>23231</xdr:rowOff>
    </xdr:from>
    <xdr:to>
      <xdr:col>7</xdr:col>
      <xdr:colOff>256246</xdr:colOff>
      <xdr:row>21</xdr:row>
      <xdr:rowOff>137531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3525" y="3995853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31595</xdr:colOff>
      <xdr:row>38</xdr:row>
      <xdr:rowOff>26948</xdr:rowOff>
    </xdr:from>
    <xdr:to>
      <xdr:col>7</xdr:col>
      <xdr:colOff>250670</xdr:colOff>
      <xdr:row>38</xdr:row>
      <xdr:rowOff>141248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7949" y="6764143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4</xdr:col>
      <xdr:colOff>1261948</xdr:colOff>
      <xdr:row>29</xdr:row>
      <xdr:rowOff>26019</xdr:rowOff>
    </xdr:from>
    <xdr:to>
      <xdr:col>4</xdr:col>
      <xdr:colOff>1481023</xdr:colOff>
      <xdr:row>29</xdr:row>
      <xdr:rowOff>140319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6643" y="5299617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1259159</xdr:colOff>
      <xdr:row>22</xdr:row>
      <xdr:rowOff>27878</xdr:rowOff>
    </xdr:from>
    <xdr:to>
      <xdr:col>4</xdr:col>
      <xdr:colOff>1478234</xdr:colOff>
      <xdr:row>22</xdr:row>
      <xdr:rowOff>142178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3854" y="4163122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31595</xdr:colOff>
      <xdr:row>37</xdr:row>
      <xdr:rowOff>22303</xdr:rowOff>
    </xdr:from>
    <xdr:to>
      <xdr:col>7</xdr:col>
      <xdr:colOff>250670</xdr:colOff>
      <xdr:row>37</xdr:row>
      <xdr:rowOff>136603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7949" y="6596876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35313</xdr:colOff>
      <xdr:row>29</xdr:row>
      <xdr:rowOff>30665</xdr:rowOff>
    </xdr:from>
    <xdr:to>
      <xdr:col>7</xdr:col>
      <xdr:colOff>254388</xdr:colOff>
      <xdr:row>29</xdr:row>
      <xdr:rowOff>144965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1667" y="5304263"/>
          <a:ext cx="219075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36161</xdr:colOff>
      <xdr:row>22</xdr:row>
      <xdr:rowOff>36009</xdr:rowOff>
    </xdr:from>
    <xdr:to>
      <xdr:col>7</xdr:col>
      <xdr:colOff>255236</xdr:colOff>
      <xdr:row>22</xdr:row>
      <xdr:rowOff>134745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7161" y="4193879"/>
          <a:ext cx="219075" cy="98736"/>
        </a:xfrm>
        <a:prstGeom prst="rect">
          <a:avLst/>
        </a:prstGeom>
      </xdr:spPr>
    </xdr:pic>
    <xdr:clientData/>
  </xdr:twoCellAnchor>
  <xdr:twoCellAnchor editAs="oneCell">
    <xdr:from>
      <xdr:col>4</xdr:col>
      <xdr:colOff>1258229</xdr:colOff>
      <xdr:row>38</xdr:row>
      <xdr:rowOff>30434</xdr:rowOff>
    </xdr:from>
    <xdr:to>
      <xdr:col>4</xdr:col>
      <xdr:colOff>1477304</xdr:colOff>
      <xdr:row>38</xdr:row>
      <xdr:rowOff>129170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2924" y="6767629"/>
          <a:ext cx="219075" cy="98736"/>
        </a:xfrm>
        <a:prstGeom prst="rect">
          <a:avLst/>
        </a:prstGeom>
      </xdr:spPr>
    </xdr:pic>
    <xdr:clientData/>
  </xdr:twoCellAnchor>
  <xdr:twoCellAnchor editAs="oneCell">
    <xdr:from>
      <xdr:col>4</xdr:col>
      <xdr:colOff>1261947</xdr:colOff>
      <xdr:row>30</xdr:row>
      <xdr:rowOff>29504</xdr:rowOff>
    </xdr:from>
    <xdr:to>
      <xdr:col>4</xdr:col>
      <xdr:colOff>1481022</xdr:colOff>
      <xdr:row>30</xdr:row>
      <xdr:rowOff>128240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6642" y="5465724"/>
          <a:ext cx="219075" cy="98736"/>
        </a:xfrm>
        <a:prstGeom prst="rect">
          <a:avLst/>
        </a:prstGeom>
      </xdr:spPr>
    </xdr:pic>
    <xdr:clientData/>
  </xdr:twoCellAnchor>
  <xdr:twoCellAnchor>
    <xdr:from>
      <xdr:col>12</xdr:col>
      <xdr:colOff>1</xdr:colOff>
      <xdr:row>13</xdr:row>
      <xdr:rowOff>1</xdr:rowOff>
    </xdr:from>
    <xdr:to>
      <xdr:col>12</xdr:col>
      <xdr:colOff>334229</xdr:colOff>
      <xdr:row>15</xdr:row>
      <xdr:rowOff>0</xdr:rowOff>
    </xdr:to>
    <xdr:pic>
      <xdr:nvPicPr>
        <xdr:cNvPr id="55" name="Рисунок 54" descr="xushnudbek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0414" y="2667001"/>
          <a:ext cx="334228" cy="331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179296</xdr:colOff>
      <xdr:row>1</xdr:row>
      <xdr:rowOff>11206</xdr:rowOff>
    </xdr:from>
    <xdr:to>
      <xdr:col>16</xdr:col>
      <xdr:colOff>301707</xdr:colOff>
      <xdr:row>1</xdr:row>
      <xdr:rowOff>422413</xdr:rowOff>
    </xdr:to>
    <xdr:pic>
      <xdr:nvPicPr>
        <xdr:cNvPr id="5" name="Рисунок 4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513" y="682097"/>
          <a:ext cx="486846" cy="411207"/>
        </a:xfrm>
        <a:prstGeom prst="rect">
          <a:avLst/>
        </a:prstGeom>
      </xdr:spPr>
    </xdr:pic>
    <xdr:clientData/>
  </xdr:twoCellAnchor>
  <xdr:twoCellAnchor editAs="oneCell">
    <xdr:from>
      <xdr:col>12</xdr:col>
      <xdr:colOff>679206</xdr:colOff>
      <xdr:row>43</xdr:row>
      <xdr:rowOff>124237</xdr:rowOff>
    </xdr:from>
    <xdr:to>
      <xdr:col>18</xdr:col>
      <xdr:colOff>289923</xdr:colOff>
      <xdr:row>49</xdr:row>
      <xdr:rowOff>68019</xdr:rowOff>
    </xdr:to>
    <xdr:pic>
      <xdr:nvPicPr>
        <xdr:cNvPr id="59" name="Рисунок 58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9619" y="10005389"/>
          <a:ext cx="2517913" cy="1003956"/>
        </a:xfrm>
        <a:prstGeom prst="rect">
          <a:avLst/>
        </a:prstGeom>
      </xdr:spPr>
    </xdr:pic>
    <xdr:clientData/>
  </xdr:twoCellAnchor>
  <xdr:twoCellAnchor editAs="oneCell">
    <xdr:from>
      <xdr:col>12</xdr:col>
      <xdr:colOff>16564</xdr:colOff>
      <xdr:row>7</xdr:row>
      <xdr:rowOff>12722</xdr:rowOff>
    </xdr:from>
    <xdr:to>
      <xdr:col>14</xdr:col>
      <xdr:colOff>356152</xdr:colOff>
      <xdr:row>9</xdr:row>
      <xdr:rowOff>187651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977" y="2514070"/>
          <a:ext cx="1639958" cy="572494"/>
        </a:xfrm>
        <a:prstGeom prst="rect">
          <a:avLst/>
        </a:prstGeom>
      </xdr:spPr>
    </xdr:pic>
    <xdr:clientData/>
  </xdr:twoCellAnchor>
  <xdr:twoCellAnchor editAs="oneCell">
    <xdr:from>
      <xdr:col>1</xdr:col>
      <xdr:colOff>323026</xdr:colOff>
      <xdr:row>40</xdr:row>
      <xdr:rowOff>132523</xdr:rowOff>
    </xdr:from>
    <xdr:to>
      <xdr:col>6</xdr:col>
      <xdr:colOff>223634</xdr:colOff>
      <xdr:row>42</xdr:row>
      <xdr:rowOff>89164</xdr:rowOff>
    </xdr:to>
    <xdr:pic>
      <xdr:nvPicPr>
        <xdr:cNvPr id="61" name="Рисунок 60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048" y="9160566"/>
          <a:ext cx="3412434" cy="644097"/>
        </a:xfrm>
        <a:prstGeom prst="rect">
          <a:avLst/>
        </a:prstGeom>
      </xdr:spPr>
    </xdr:pic>
    <xdr:clientData/>
  </xdr:twoCellAnchor>
  <xdr:twoCellAnchor editAs="oneCell">
    <xdr:from>
      <xdr:col>7</xdr:col>
      <xdr:colOff>1457739</xdr:colOff>
      <xdr:row>40</xdr:row>
      <xdr:rowOff>74546</xdr:rowOff>
    </xdr:from>
    <xdr:to>
      <xdr:col>15</xdr:col>
      <xdr:colOff>198783</xdr:colOff>
      <xdr:row>42</xdr:row>
      <xdr:rowOff>46819</xdr:rowOff>
    </xdr:to>
    <xdr:pic>
      <xdr:nvPicPr>
        <xdr:cNvPr id="62" name="Рисунок 61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739" y="9102589"/>
          <a:ext cx="3495261" cy="659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14655</xdr:rowOff>
    </xdr:from>
    <xdr:to>
      <xdr:col>3</xdr:col>
      <xdr:colOff>383209</xdr:colOff>
      <xdr:row>8</xdr:row>
      <xdr:rowOff>51288</xdr:rowOff>
    </xdr:to>
    <xdr:pic>
      <xdr:nvPicPr>
        <xdr:cNvPr id="63" name="Рисунок 62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15309"/>
          <a:ext cx="1870574" cy="432288"/>
        </a:xfrm>
        <a:prstGeom prst="rect">
          <a:avLst/>
        </a:prstGeom>
      </xdr:spPr>
    </xdr:pic>
    <xdr:clientData/>
  </xdr:twoCellAnchor>
  <xdr:twoCellAnchor>
    <xdr:from>
      <xdr:col>14</xdr:col>
      <xdr:colOff>21981</xdr:colOff>
      <xdr:row>11</xdr:row>
      <xdr:rowOff>51288</xdr:rowOff>
    </xdr:from>
    <xdr:to>
      <xdr:col>14</xdr:col>
      <xdr:colOff>307731</xdr:colOff>
      <xdr:row>11</xdr:row>
      <xdr:rowOff>190500</xdr:rowOff>
    </xdr:to>
    <xdr:sp macro="" textlink="">
      <xdr:nvSpPr>
        <xdr:cNvPr id="66" name="Стрелка вправо 65"/>
        <xdr:cNvSpPr/>
      </xdr:nvSpPr>
      <xdr:spPr>
        <a:xfrm>
          <a:off x="8557846" y="3304442"/>
          <a:ext cx="285750" cy="139212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13</xdr:col>
      <xdr:colOff>16601</xdr:colOff>
      <xdr:row>64</xdr:row>
      <xdr:rowOff>124245</xdr:rowOff>
    </xdr:from>
    <xdr:to>
      <xdr:col>18</xdr:col>
      <xdr:colOff>298212</xdr:colOff>
      <xdr:row>68</xdr:row>
      <xdr:rowOff>2911</xdr:rowOff>
    </xdr:to>
    <xdr:pic>
      <xdr:nvPicPr>
        <xdr:cNvPr id="70" name="Рисунок 69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2949" y="13765702"/>
          <a:ext cx="2252872" cy="541274"/>
        </a:xfrm>
        <a:prstGeom prst="rect">
          <a:avLst/>
        </a:prstGeom>
      </xdr:spPr>
    </xdr:pic>
    <xdr:clientData/>
  </xdr:twoCellAnchor>
  <xdr:twoCellAnchor editAs="oneCell">
    <xdr:from>
      <xdr:col>14</xdr:col>
      <xdr:colOff>256798</xdr:colOff>
      <xdr:row>52</xdr:row>
      <xdr:rowOff>24849</xdr:rowOff>
    </xdr:from>
    <xdr:to>
      <xdr:col>18</xdr:col>
      <xdr:colOff>381038</xdr:colOff>
      <xdr:row>56</xdr:row>
      <xdr:rowOff>97479</xdr:rowOff>
    </xdr:to>
    <xdr:pic>
      <xdr:nvPicPr>
        <xdr:cNvPr id="71" name="Рисунок 70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7581" y="11529392"/>
          <a:ext cx="1731066" cy="735238"/>
        </a:xfrm>
        <a:prstGeom prst="rect">
          <a:avLst/>
        </a:prstGeom>
      </xdr:spPr>
    </xdr:pic>
    <xdr:clientData/>
  </xdr:twoCellAnchor>
  <xdr:twoCellAnchor editAs="oneCell">
    <xdr:from>
      <xdr:col>12</xdr:col>
      <xdr:colOff>894560</xdr:colOff>
      <xdr:row>52</xdr:row>
      <xdr:rowOff>107674</xdr:rowOff>
    </xdr:from>
    <xdr:to>
      <xdr:col>14</xdr:col>
      <xdr:colOff>157407</xdr:colOff>
      <xdr:row>56</xdr:row>
      <xdr:rowOff>13804</xdr:rowOff>
    </xdr:to>
    <xdr:pic>
      <xdr:nvPicPr>
        <xdr:cNvPr id="72" name="Рисунок 71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4973" y="11612217"/>
          <a:ext cx="563217" cy="568738"/>
        </a:xfrm>
        <a:prstGeom prst="rect">
          <a:avLst/>
        </a:prstGeom>
      </xdr:spPr>
    </xdr:pic>
    <xdr:clientData/>
  </xdr:twoCellAnchor>
  <xdr:twoCellAnchor editAs="oneCell">
    <xdr:from>
      <xdr:col>15</xdr:col>
      <xdr:colOff>49728</xdr:colOff>
      <xdr:row>69</xdr:row>
      <xdr:rowOff>8290</xdr:rowOff>
    </xdr:from>
    <xdr:to>
      <xdr:col>18</xdr:col>
      <xdr:colOff>312286</xdr:colOff>
      <xdr:row>72</xdr:row>
      <xdr:rowOff>8</xdr:rowOff>
    </xdr:to>
    <xdr:pic>
      <xdr:nvPicPr>
        <xdr:cNvPr id="73" name="Рисунок 72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4945" y="14478007"/>
          <a:ext cx="1504950" cy="57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927689</xdr:colOff>
      <xdr:row>56</xdr:row>
      <xdr:rowOff>157366</xdr:rowOff>
    </xdr:from>
    <xdr:to>
      <xdr:col>14</xdr:col>
      <xdr:colOff>182254</xdr:colOff>
      <xdr:row>59</xdr:row>
      <xdr:rowOff>132518</xdr:rowOff>
    </xdr:to>
    <xdr:pic>
      <xdr:nvPicPr>
        <xdr:cNvPr id="76" name="Рисунок 75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8102" y="12324518"/>
          <a:ext cx="554935" cy="554935"/>
        </a:xfrm>
        <a:prstGeom prst="rect">
          <a:avLst/>
        </a:prstGeom>
      </xdr:spPr>
    </xdr:pic>
    <xdr:clientData/>
  </xdr:twoCellAnchor>
  <xdr:twoCellAnchor editAs="oneCell">
    <xdr:from>
      <xdr:col>12</xdr:col>
      <xdr:colOff>902838</xdr:colOff>
      <xdr:row>72</xdr:row>
      <xdr:rowOff>165659</xdr:rowOff>
    </xdr:from>
    <xdr:to>
      <xdr:col>18</xdr:col>
      <xdr:colOff>318790</xdr:colOff>
      <xdr:row>76</xdr:row>
      <xdr:rowOff>99401</xdr:rowOff>
    </xdr:to>
    <xdr:pic>
      <xdr:nvPicPr>
        <xdr:cNvPr id="77" name="Рисунок 76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3251" y="15215159"/>
          <a:ext cx="2323148" cy="612916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56</xdr:row>
      <xdr:rowOff>140802</xdr:rowOff>
    </xdr:from>
    <xdr:to>
      <xdr:col>18</xdr:col>
      <xdr:colOff>360994</xdr:colOff>
      <xdr:row>59</xdr:row>
      <xdr:rowOff>140805</xdr:rowOff>
    </xdr:to>
    <xdr:pic>
      <xdr:nvPicPr>
        <xdr:cNvPr id="3" name="Рисунок 2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8349" y="12324519"/>
          <a:ext cx="1570254" cy="579786"/>
        </a:xfrm>
        <a:prstGeom prst="rect">
          <a:avLst/>
        </a:prstGeom>
      </xdr:spPr>
    </xdr:pic>
    <xdr:clientData/>
  </xdr:twoCellAnchor>
  <xdr:twoCellAnchor editAs="oneCell">
    <xdr:from>
      <xdr:col>7</xdr:col>
      <xdr:colOff>57976</xdr:colOff>
      <xdr:row>6</xdr:row>
      <xdr:rowOff>57977</xdr:rowOff>
    </xdr:from>
    <xdr:to>
      <xdr:col>8</xdr:col>
      <xdr:colOff>188872</xdr:colOff>
      <xdr:row>8</xdr:row>
      <xdr:rowOff>140803</xdr:rowOff>
    </xdr:to>
    <xdr:pic>
      <xdr:nvPicPr>
        <xdr:cNvPr id="4" name="Рисунок 3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976" y="2377107"/>
          <a:ext cx="1638331" cy="480392"/>
        </a:xfrm>
        <a:prstGeom prst="rect">
          <a:avLst/>
        </a:prstGeom>
      </xdr:spPr>
    </xdr:pic>
    <xdr:clientData/>
  </xdr:twoCellAnchor>
  <xdr:twoCellAnchor editAs="oneCell">
    <xdr:from>
      <xdr:col>13</xdr:col>
      <xdr:colOff>8283</xdr:colOff>
      <xdr:row>69</xdr:row>
      <xdr:rowOff>24849</xdr:rowOff>
    </xdr:from>
    <xdr:to>
      <xdr:col>14</xdr:col>
      <xdr:colOff>302033</xdr:colOff>
      <xdr:row>71</xdr:row>
      <xdr:rowOff>132523</xdr:rowOff>
    </xdr:to>
    <xdr:pic>
      <xdr:nvPicPr>
        <xdr:cNvPr id="7" name="Рисунок 6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4631" y="14511132"/>
          <a:ext cx="658185" cy="521804"/>
        </a:xfrm>
        <a:prstGeom prst="rect">
          <a:avLst/>
        </a:prstGeom>
      </xdr:spPr>
    </xdr:pic>
    <xdr:clientData/>
  </xdr:twoCellAnchor>
  <xdr:twoCellAnchor editAs="oneCell">
    <xdr:from>
      <xdr:col>13</xdr:col>
      <xdr:colOff>115958</xdr:colOff>
      <xdr:row>60</xdr:row>
      <xdr:rowOff>16562</xdr:rowOff>
    </xdr:from>
    <xdr:to>
      <xdr:col>18</xdr:col>
      <xdr:colOff>326034</xdr:colOff>
      <xdr:row>64</xdr:row>
      <xdr:rowOff>57977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306" y="12945714"/>
          <a:ext cx="2181337" cy="770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abardor.uz/" TargetMode="External"/><Relationship Id="rId2" Type="http://schemas.openxmlformats.org/officeDocument/2006/relationships/hyperlink" Target="http://www.xabardor.uz/" TargetMode="External"/><Relationship Id="rId1" Type="http://schemas.openxmlformats.org/officeDocument/2006/relationships/hyperlink" Target="http://www.xabardor.u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xabardor.uz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legraf.uz/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www.xabardor.uz/" TargetMode="External"/><Relationship Id="rId7" Type="http://schemas.openxmlformats.org/officeDocument/2006/relationships/hyperlink" Target="http://www.xabardor.uz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www.xushnudbek.uz/" TargetMode="External"/><Relationship Id="rId1" Type="http://schemas.openxmlformats.org/officeDocument/2006/relationships/hyperlink" Target="http://www.excely.com/ice-hockey/world-cup-2009-schedule/" TargetMode="External"/><Relationship Id="rId6" Type="http://schemas.openxmlformats.org/officeDocument/2006/relationships/hyperlink" Target="http://www.xabardor.uz/" TargetMode="External"/><Relationship Id="rId11" Type="http://schemas.openxmlformats.org/officeDocument/2006/relationships/hyperlink" Target="https://www.facebook.com/Chustiy.Cuisine" TargetMode="External"/><Relationship Id="rId5" Type="http://schemas.openxmlformats.org/officeDocument/2006/relationships/hyperlink" Target="http://www.xabardor.uz/" TargetMode="External"/><Relationship Id="rId10" Type="http://schemas.openxmlformats.org/officeDocument/2006/relationships/hyperlink" Target="https://www.facebook.com/Chustiy.Cuisine" TargetMode="External"/><Relationship Id="rId4" Type="http://schemas.openxmlformats.org/officeDocument/2006/relationships/hyperlink" Target="http://www.xabardor.uz/" TargetMode="External"/><Relationship Id="rId9" Type="http://schemas.openxmlformats.org/officeDocument/2006/relationships/hyperlink" Target="http://www.skychess.uz/" TargetMode="External"/><Relationship Id="rId14" Type="http://schemas.openxmlformats.org/officeDocument/2006/relationships/image" Target="../media/image3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0"/>
  <sheetViews>
    <sheetView workbookViewId="0">
      <pane ySplit="1" topLeftCell="A116" activePane="bottomLeft" state="frozen"/>
      <selection pane="bottomLeft" activeCell="C1" sqref="A1:C1048576"/>
    </sheetView>
  </sheetViews>
  <sheetFormatPr defaultRowHeight="12.75" x14ac:dyDescent="0.2"/>
  <cols>
    <col min="1" max="1" width="39.28515625" style="189" hidden="1" customWidth="1"/>
    <col min="2" max="3" width="56.5703125" style="189" hidden="1" customWidth="1"/>
  </cols>
  <sheetData>
    <row r="1" spans="1:3" x14ac:dyDescent="0.2">
      <c r="A1" s="189" t="s">
        <v>17</v>
      </c>
      <c r="B1" s="189" t="s">
        <v>18</v>
      </c>
      <c r="C1" s="190" t="s">
        <v>147</v>
      </c>
    </row>
    <row r="2" spans="1:3" x14ac:dyDescent="0.2">
      <c r="A2" s="190" t="s">
        <v>217</v>
      </c>
      <c r="B2" s="190" t="s">
        <v>218</v>
      </c>
      <c r="C2" s="190" t="s">
        <v>219</v>
      </c>
    </row>
    <row r="3" spans="1:3" x14ac:dyDescent="0.2">
      <c r="A3" s="189" t="s">
        <v>2</v>
      </c>
      <c r="B3" s="189" t="s">
        <v>3</v>
      </c>
      <c r="C3" s="189" t="s">
        <v>128</v>
      </c>
    </row>
    <row r="4" spans="1:3" x14ac:dyDescent="0.2">
      <c r="A4" s="189" t="s">
        <v>109</v>
      </c>
      <c r="B4" s="189" t="s">
        <v>110</v>
      </c>
      <c r="C4" s="189" t="s">
        <v>129</v>
      </c>
    </row>
    <row r="5" spans="1:3" x14ac:dyDescent="0.2">
      <c r="A5" s="189" t="s">
        <v>14</v>
      </c>
      <c r="B5" s="189" t="s">
        <v>20</v>
      </c>
      <c r="C5" s="189" t="s">
        <v>130</v>
      </c>
    </row>
    <row r="6" spans="1:3" x14ac:dyDescent="0.2">
      <c r="A6" s="189" t="s">
        <v>15</v>
      </c>
      <c r="B6" s="189" t="s">
        <v>21</v>
      </c>
      <c r="C6" s="189" t="s">
        <v>131</v>
      </c>
    </row>
    <row r="7" spans="1:3" x14ac:dyDescent="0.2">
      <c r="A7" s="189" t="s">
        <v>43</v>
      </c>
      <c r="B7" s="189" t="s">
        <v>22</v>
      </c>
      <c r="C7" s="190" t="s">
        <v>165</v>
      </c>
    </row>
    <row r="8" spans="1:3" x14ac:dyDescent="0.2">
      <c r="A8" s="189" t="s">
        <v>13</v>
      </c>
      <c r="B8" s="189" t="s">
        <v>23</v>
      </c>
      <c r="C8" s="189" t="s">
        <v>23</v>
      </c>
    </row>
    <row r="9" spans="1:3" x14ac:dyDescent="0.2">
      <c r="A9" s="189" t="s">
        <v>19</v>
      </c>
      <c r="B9" s="189" t="s">
        <v>24</v>
      </c>
      <c r="C9" s="189" t="s">
        <v>132</v>
      </c>
    </row>
    <row r="10" spans="1:3" x14ac:dyDescent="0.2">
      <c r="A10" s="189" t="s">
        <v>102</v>
      </c>
      <c r="B10" s="189" t="s">
        <v>25</v>
      </c>
      <c r="C10" s="189" t="s">
        <v>133</v>
      </c>
    </row>
    <row r="11" spans="1:3" x14ac:dyDescent="0.2">
      <c r="A11" s="189" t="s">
        <v>4</v>
      </c>
      <c r="B11" s="189" t="s">
        <v>27</v>
      </c>
      <c r="C11" s="189" t="s">
        <v>134</v>
      </c>
    </row>
    <row r="12" spans="1:3" x14ac:dyDescent="0.2">
      <c r="A12" s="189" t="s">
        <v>103</v>
      </c>
      <c r="B12" s="189" t="s">
        <v>104</v>
      </c>
      <c r="C12" s="189" t="s">
        <v>135</v>
      </c>
    </row>
    <row r="13" spans="1:3" x14ac:dyDescent="0.2">
      <c r="A13" s="189" t="s">
        <v>6</v>
      </c>
      <c r="B13" s="189" t="s">
        <v>26</v>
      </c>
      <c r="C13" s="189" t="s">
        <v>122</v>
      </c>
    </row>
    <row r="14" spans="1:3" x14ac:dyDescent="0.2">
      <c r="A14" s="189" t="s">
        <v>16</v>
      </c>
      <c r="B14" s="189" t="s">
        <v>28</v>
      </c>
      <c r="C14" s="190" t="s">
        <v>164</v>
      </c>
    </row>
    <row r="15" spans="1:3" x14ac:dyDescent="0.2">
      <c r="A15" s="189" t="s">
        <v>100</v>
      </c>
      <c r="B15" s="189" t="s">
        <v>101</v>
      </c>
      <c r="C15" s="189" t="s">
        <v>136</v>
      </c>
    </row>
    <row r="18" spans="1:3" x14ac:dyDescent="0.2">
      <c r="A18" s="189" t="s">
        <v>90</v>
      </c>
      <c r="B18" s="189" t="s">
        <v>83</v>
      </c>
      <c r="C18" s="189" t="s">
        <v>137</v>
      </c>
    </row>
    <row r="19" spans="1:3" x14ac:dyDescent="0.2">
      <c r="A19" s="189" t="s">
        <v>91</v>
      </c>
      <c r="B19" s="189" t="s">
        <v>84</v>
      </c>
      <c r="C19" s="189" t="s">
        <v>138</v>
      </c>
    </row>
    <row r="20" spans="1:3" x14ac:dyDescent="0.2">
      <c r="A20" s="189" t="s">
        <v>92</v>
      </c>
      <c r="B20" s="189" t="s">
        <v>85</v>
      </c>
      <c r="C20" s="189" t="s">
        <v>139</v>
      </c>
    </row>
    <row r="21" spans="1:3" x14ac:dyDescent="0.2">
      <c r="A21" s="189" t="s">
        <v>93</v>
      </c>
      <c r="B21" s="189" t="s">
        <v>86</v>
      </c>
      <c r="C21" s="189" t="s">
        <v>140</v>
      </c>
    </row>
    <row r="22" spans="1:3" x14ac:dyDescent="0.2">
      <c r="A22" s="189" t="s">
        <v>94</v>
      </c>
      <c r="B22" s="189" t="s">
        <v>87</v>
      </c>
      <c r="C22" s="189" t="s">
        <v>141</v>
      </c>
    </row>
    <row r="23" spans="1:3" x14ac:dyDescent="0.2">
      <c r="A23" s="189" t="s">
        <v>95</v>
      </c>
      <c r="B23" s="189" t="s">
        <v>88</v>
      </c>
      <c r="C23" s="189" t="s">
        <v>142</v>
      </c>
    </row>
    <row r="24" spans="1:3" x14ac:dyDescent="0.2">
      <c r="A24" s="189" t="s">
        <v>96</v>
      </c>
      <c r="B24" s="189" t="s">
        <v>89</v>
      </c>
      <c r="C24" s="189" t="s">
        <v>143</v>
      </c>
    </row>
    <row r="25" spans="1:3" x14ac:dyDescent="0.2">
      <c r="A25" s="189" t="s">
        <v>45</v>
      </c>
      <c r="B25" s="189" t="s">
        <v>29</v>
      </c>
      <c r="C25" s="189" t="s">
        <v>29</v>
      </c>
    </row>
    <row r="26" spans="1:3" x14ac:dyDescent="0.2">
      <c r="A26" s="189" t="s">
        <v>46</v>
      </c>
      <c r="B26" s="189" t="s">
        <v>30</v>
      </c>
      <c r="C26" s="189" t="s">
        <v>30</v>
      </c>
    </row>
    <row r="27" spans="1:3" x14ac:dyDescent="0.2">
      <c r="A27" s="189" t="s">
        <v>97</v>
      </c>
      <c r="B27" s="189" t="s">
        <v>31</v>
      </c>
      <c r="C27" s="189" t="s">
        <v>31</v>
      </c>
    </row>
    <row r="28" spans="1:3" x14ac:dyDescent="0.2">
      <c r="A28" s="189" t="s">
        <v>47</v>
      </c>
      <c r="B28" s="189" t="s">
        <v>32</v>
      </c>
      <c r="C28" s="189" t="s">
        <v>32</v>
      </c>
    </row>
    <row r="29" spans="1:3" x14ac:dyDescent="0.2">
      <c r="A29" s="189" t="s">
        <v>98</v>
      </c>
      <c r="B29" s="189" t="s">
        <v>33</v>
      </c>
      <c r="C29" s="189" t="s">
        <v>33</v>
      </c>
    </row>
    <row r="30" spans="1:3" x14ac:dyDescent="0.2">
      <c r="A30" s="189" t="s">
        <v>48</v>
      </c>
      <c r="B30" s="189" t="s">
        <v>34</v>
      </c>
      <c r="C30" s="189" t="s">
        <v>149</v>
      </c>
    </row>
    <row r="31" spans="1:3" x14ac:dyDescent="0.2">
      <c r="A31" s="189" t="s">
        <v>49</v>
      </c>
      <c r="B31" s="189" t="s">
        <v>35</v>
      </c>
      <c r="C31" s="189" t="s">
        <v>150</v>
      </c>
    </row>
    <row r="32" spans="1:3" x14ac:dyDescent="0.2">
      <c r="A32" s="189" t="s">
        <v>50</v>
      </c>
      <c r="B32" s="189" t="s">
        <v>36</v>
      </c>
      <c r="C32" s="189" t="s">
        <v>36</v>
      </c>
    </row>
    <row r="33" spans="1:3" x14ac:dyDescent="0.2">
      <c r="A33" s="189" t="s">
        <v>51</v>
      </c>
      <c r="B33" s="189" t="s">
        <v>37</v>
      </c>
      <c r="C33" s="189" t="s">
        <v>37</v>
      </c>
    </row>
    <row r="34" spans="1:3" x14ac:dyDescent="0.2">
      <c r="A34" s="189" t="s">
        <v>52</v>
      </c>
      <c r="B34" s="189" t="s">
        <v>38</v>
      </c>
      <c r="C34" s="189" t="s">
        <v>38</v>
      </c>
    </row>
    <row r="35" spans="1:3" x14ac:dyDescent="0.2">
      <c r="A35" s="189" t="s">
        <v>53</v>
      </c>
      <c r="B35" s="189" t="s">
        <v>39</v>
      </c>
      <c r="C35" s="189" t="s">
        <v>39</v>
      </c>
    </row>
    <row r="36" spans="1:3" x14ac:dyDescent="0.2">
      <c r="A36" s="189" t="s">
        <v>99</v>
      </c>
      <c r="B36" s="189" t="s">
        <v>40</v>
      </c>
      <c r="C36" s="189" t="s">
        <v>40</v>
      </c>
    </row>
    <row r="37" spans="1:3" x14ac:dyDescent="0.2">
      <c r="A37" s="189" t="s">
        <v>9</v>
      </c>
      <c r="B37" s="189" t="s">
        <v>41</v>
      </c>
      <c r="C37" s="189" t="s">
        <v>144</v>
      </c>
    </row>
    <row r="38" spans="1:3" x14ac:dyDescent="0.2">
      <c r="A38" s="190" t="s">
        <v>105</v>
      </c>
      <c r="B38" s="190" t="s">
        <v>120</v>
      </c>
      <c r="C38" s="190" t="s">
        <v>120</v>
      </c>
    </row>
    <row r="39" spans="1:3" x14ac:dyDescent="0.2">
      <c r="A39" s="190" t="s">
        <v>170</v>
      </c>
      <c r="B39" s="190" t="s">
        <v>125</v>
      </c>
      <c r="C39" s="190" t="s">
        <v>145</v>
      </c>
    </row>
    <row r="40" spans="1:3" x14ac:dyDescent="0.2">
      <c r="A40" s="190" t="s">
        <v>171</v>
      </c>
      <c r="B40" s="190" t="s">
        <v>252</v>
      </c>
      <c r="C40" s="190" t="s">
        <v>190</v>
      </c>
    </row>
    <row r="41" spans="1:3" x14ac:dyDescent="0.2">
      <c r="A41" s="190" t="s">
        <v>172</v>
      </c>
      <c r="B41" s="190" t="s">
        <v>182</v>
      </c>
      <c r="C41" s="190" t="s">
        <v>328</v>
      </c>
    </row>
    <row r="42" spans="1:3" x14ac:dyDescent="0.2">
      <c r="A42" s="190" t="s">
        <v>166</v>
      </c>
      <c r="B42" s="190" t="s">
        <v>167</v>
      </c>
      <c r="C42" s="190" t="s">
        <v>168</v>
      </c>
    </row>
    <row r="43" spans="1:3" x14ac:dyDescent="0.2">
      <c r="A43" s="190" t="s">
        <v>173</v>
      </c>
      <c r="B43" s="190" t="s">
        <v>183</v>
      </c>
      <c r="C43" s="190" t="s">
        <v>191</v>
      </c>
    </row>
    <row r="44" spans="1:3" x14ac:dyDescent="0.2">
      <c r="A44" s="190" t="s">
        <v>174</v>
      </c>
      <c r="B44" s="190" t="s">
        <v>184</v>
      </c>
      <c r="C44" s="190" t="s">
        <v>169</v>
      </c>
    </row>
    <row r="45" spans="1:3" x14ac:dyDescent="0.2">
      <c r="A45" s="190" t="s">
        <v>175</v>
      </c>
      <c r="B45" s="190" t="s">
        <v>253</v>
      </c>
      <c r="C45" s="190" t="s">
        <v>192</v>
      </c>
    </row>
    <row r="46" spans="1:3" x14ac:dyDescent="0.2">
      <c r="A46" s="190" t="s">
        <v>126</v>
      </c>
      <c r="B46" s="190" t="s">
        <v>127</v>
      </c>
      <c r="C46" s="190" t="s">
        <v>146</v>
      </c>
    </row>
    <row r="47" spans="1:3" x14ac:dyDescent="0.2">
      <c r="A47" s="190" t="s">
        <v>176</v>
      </c>
      <c r="B47" s="190" t="s">
        <v>185</v>
      </c>
      <c r="C47" s="190" t="s">
        <v>193</v>
      </c>
    </row>
    <row r="48" spans="1:3" x14ac:dyDescent="0.2">
      <c r="A48" s="190" t="s">
        <v>177</v>
      </c>
      <c r="B48" s="190" t="s">
        <v>186</v>
      </c>
      <c r="C48" s="190" t="s">
        <v>194</v>
      </c>
    </row>
    <row r="49" spans="1:3" x14ac:dyDescent="0.2">
      <c r="A49" s="190" t="s">
        <v>178</v>
      </c>
      <c r="B49" s="190" t="s">
        <v>187</v>
      </c>
      <c r="C49" s="190" t="s">
        <v>195</v>
      </c>
    </row>
    <row r="50" spans="1:3" x14ac:dyDescent="0.2">
      <c r="A50" s="190" t="s">
        <v>106</v>
      </c>
      <c r="B50" s="190" t="s">
        <v>121</v>
      </c>
      <c r="C50" s="190" t="s">
        <v>121</v>
      </c>
    </row>
    <row r="51" spans="1:3" x14ac:dyDescent="0.2">
      <c r="A51" s="190" t="s">
        <v>179</v>
      </c>
      <c r="B51" s="190" t="s">
        <v>188</v>
      </c>
      <c r="C51" s="190" t="s">
        <v>188</v>
      </c>
    </row>
    <row r="52" spans="1:3" x14ac:dyDescent="0.2">
      <c r="A52" s="190" t="s">
        <v>180</v>
      </c>
      <c r="B52" s="190" t="s">
        <v>189</v>
      </c>
      <c r="C52" s="190" t="s">
        <v>196</v>
      </c>
    </row>
    <row r="53" spans="1:3" x14ac:dyDescent="0.2">
      <c r="A53" s="190" t="s">
        <v>181</v>
      </c>
      <c r="B53" s="190" t="s">
        <v>254</v>
      </c>
      <c r="C53" s="190" t="s">
        <v>197</v>
      </c>
    </row>
    <row r="56" spans="1:3" x14ac:dyDescent="0.2">
      <c r="A56" s="190" t="s">
        <v>230</v>
      </c>
      <c r="B56" s="190" t="s">
        <v>231</v>
      </c>
      <c r="C56" s="190" t="s">
        <v>155</v>
      </c>
    </row>
    <row r="57" spans="1:3" x14ac:dyDescent="0.2">
      <c r="A57" s="190" t="s">
        <v>232</v>
      </c>
      <c r="B57" s="190" t="s">
        <v>233</v>
      </c>
      <c r="C57" s="190" t="s">
        <v>151</v>
      </c>
    </row>
    <row r="58" spans="1:3" x14ac:dyDescent="0.2">
      <c r="A58" s="191" t="s">
        <v>316</v>
      </c>
      <c r="B58" s="191" t="s">
        <v>317</v>
      </c>
      <c r="C58" s="189" t="s">
        <v>152</v>
      </c>
    </row>
    <row r="59" spans="1:3" x14ac:dyDescent="0.2">
      <c r="A59" s="192" t="s">
        <v>44</v>
      </c>
      <c r="B59" s="193" t="s">
        <v>318</v>
      </c>
      <c r="C59" s="190" t="s">
        <v>153</v>
      </c>
    </row>
    <row r="60" spans="1:3" x14ac:dyDescent="0.2">
      <c r="A60" s="192" t="s">
        <v>319</v>
      </c>
      <c r="B60" s="192" t="s">
        <v>320</v>
      </c>
      <c r="C60" s="190" t="s">
        <v>154</v>
      </c>
    </row>
    <row r="61" spans="1:3" x14ac:dyDescent="0.2">
      <c r="A61" s="190"/>
      <c r="B61" s="190"/>
      <c r="C61" s="190"/>
    </row>
    <row r="62" spans="1:3" x14ac:dyDescent="0.2">
      <c r="A62" s="188" t="s">
        <v>321</v>
      </c>
      <c r="B62" s="192" t="s">
        <v>322</v>
      </c>
      <c r="C62" s="190" t="s">
        <v>251</v>
      </c>
    </row>
    <row r="64" spans="1:3" x14ac:dyDescent="0.2">
      <c r="A64" s="189" t="s">
        <v>271</v>
      </c>
      <c r="B64" s="189" t="s">
        <v>272</v>
      </c>
      <c r="C64" s="189" t="s">
        <v>161</v>
      </c>
    </row>
    <row r="66" spans="1:3" x14ac:dyDescent="0.2">
      <c r="A66" s="188" t="s">
        <v>323</v>
      </c>
      <c r="B66" s="192" t="s">
        <v>324</v>
      </c>
      <c r="C66" s="189" t="s">
        <v>220</v>
      </c>
    </row>
    <row r="70" spans="1:3" x14ac:dyDescent="0.2">
      <c r="A70" s="189" t="s">
        <v>112</v>
      </c>
      <c r="B70" s="189" t="s">
        <v>112</v>
      </c>
      <c r="C70" s="189" t="s">
        <v>112</v>
      </c>
    </row>
    <row r="71" spans="1:3" x14ac:dyDescent="0.2">
      <c r="A71" s="189" t="s">
        <v>113</v>
      </c>
      <c r="B71" s="189" t="s">
        <v>113</v>
      </c>
      <c r="C71" s="189" t="s">
        <v>113</v>
      </c>
    </row>
    <row r="72" spans="1:3" x14ac:dyDescent="0.2">
      <c r="A72" s="189" t="s">
        <v>114</v>
      </c>
      <c r="B72" s="189" t="s">
        <v>114</v>
      </c>
      <c r="C72" s="189" t="s">
        <v>114</v>
      </c>
    </row>
    <row r="73" spans="1:3" x14ac:dyDescent="0.2">
      <c r="A73" s="189" t="s">
        <v>115</v>
      </c>
      <c r="B73" s="189" t="s">
        <v>115</v>
      </c>
      <c r="C73" s="189" t="s">
        <v>115</v>
      </c>
    </row>
    <row r="74" spans="1:3" x14ac:dyDescent="0.2">
      <c r="A74" s="189" t="s">
        <v>116</v>
      </c>
      <c r="B74" s="189" t="s">
        <v>116</v>
      </c>
      <c r="C74" s="189" t="s">
        <v>116</v>
      </c>
    </row>
    <row r="75" spans="1:3" x14ac:dyDescent="0.2">
      <c r="A75" s="189" t="s">
        <v>117</v>
      </c>
      <c r="B75" s="189" t="s">
        <v>117</v>
      </c>
      <c r="C75" s="189" t="s">
        <v>117</v>
      </c>
    </row>
    <row r="76" spans="1:3" x14ac:dyDescent="0.2">
      <c r="A76" s="189" t="s">
        <v>118</v>
      </c>
      <c r="B76" s="189" t="s">
        <v>118</v>
      </c>
      <c r="C76" s="189" t="s">
        <v>118</v>
      </c>
    </row>
    <row r="77" spans="1:3" x14ac:dyDescent="0.2">
      <c r="A77" s="189" t="s">
        <v>119</v>
      </c>
      <c r="B77" s="189" t="s">
        <v>119</v>
      </c>
      <c r="C77" s="189" t="s">
        <v>119</v>
      </c>
    </row>
    <row r="79" spans="1:3" x14ac:dyDescent="0.2">
      <c r="A79" s="191" t="s">
        <v>305</v>
      </c>
      <c r="B79" s="194" t="s">
        <v>259</v>
      </c>
      <c r="C79" s="195" t="s">
        <v>162</v>
      </c>
    </row>
    <row r="80" spans="1:3" x14ac:dyDescent="0.2">
      <c r="A80" s="189" t="s">
        <v>304</v>
      </c>
      <c r="B80" s="194" t="s">
        <v>258</v>
      </c>
      <c r="C80" s="195" t="s">
        <v>163</v>
      </c>
    </row>
    <row r="81" spans="1:3" x14ac:dyDescent="0.2">
      <c r="A81" s="188" t="s">
        <v>308</v>
      </c>
      <c r="B81" s="196" t="s">
        <v>309</v>
      </c>
      <c r="C81" s="197" t="s">
        <v>266</v>
      </c>
    </row>
    <row r="82" spans="1:3" x14ac:dyDescent="0.2">
      <c r="A82" s="188" t="s">
        <v>310</v>
      </c>
      <c r="B82" s="196" t="s">
        <v>311</v>
      </c>
      <c r="C82" s="197" t="s">
        <v>267</v>
      </c>
    </row>
    <row r="83" spans="1:3" x14ac:dyDescent="0.2">
      <c r="A83" s="188" t="s">
        <v>312</v>
      </c>
      <c r="B83" s="196" t="s">
        <v>313</v>
      </c>
      <c r="C83" s="197" t="s">
        <v>268</v>
      </c>
    </row>
    <row r="84" spans="1:3" x14ac:dyDescent="0.2">
      <c r="A84" s="188" t="s">
        <v>314</v>
      </c>
      <c r="B84" s="198" t="s">
        <v>315</v>
      </c>
      <c r="C84" s="199" t="s">
        <v>269</v>
      </c>
    </row>
    <row r="85" spans="1:3" x14ac:dyDescent="0.2">
      <c r="B85" s="195"/>
      <c r="C85" s="195"/>
    </row>
    <row r="86" spans="1:3" x14ac:dyDescent="0.2">
      <c r="A86" s="190" t="s">
        <v>206</v>
      </c>
      <c r="B86" s="194" t="s">
        <v>206</v>
      </c>
      <c r="C86" s="194" t="s">
        <v>206</v>
      </c>
    </row>
    <row r="87" spans="1:3" x14ac:dyDescent="0.2">
      <c r="A87" s="190" t="s">
        <v>208</v>
      </c>
      <c r="B87" s="194" t="s">
        <v>208</v>
      </c>
      <c r="C87" s="194" t="s">
        <v>208</v>
      </c>
    </row>
    <row r="88" spans="1:3" x14ac:dyDescent="0.2">
      <c r="A88" s="190" t="s">
        <v>207</v>
      </c>
      <c r="B88" s="190" t="s">
        <v>207</v>
      </c>
      <c r="C88" s="190" t="s">
        <v>207</v>
      </c>
    </row>
    <row r="89" spans="1:3" x14ac:dyDescent="0.2">
      <c r="A89" s="190" t="s">
        <v>209</v>
      </c>
      <c r="B89" s="190" t="s">
        <v>209</v>
      </c>
      <c r="C89" s="190" t="s">
        <v>209</v>
      </c>
    </row>
    <row r="91" spans="1:3" x14ac:dyDescent="0.2">
      <c r="A91" s="189" t="s">
        <v>290</v>
      </c>
      <c r="B91" s="189" t="s">
        <v>293</v>
      </c>
      <c r="C91" s="189" t="s">
        <v>255</v>
      </c>
    </row>
    <row r="92" spans="1:3" x14ac:dyDescent="0.2">
      <c r="A92" s="189" t="s">
        <v>289</v>
      </c>
      <c r="B92" s="189" t="s">
        <v>294</v>
      </c>
      <c r="C92" s="190" t="s">
        <v>265</v>
      </c>
    </row>
    <row r="93" spans="1:3" x14ac:dyDescent="0.2">
      <c r="A93" s="189" t="s">
        <v>291</v>
      </c>
      <c r="B93" s="189" t="s">
        <v>295</v>
      </c>
      <c r="C93" s="189" t="s">
        <v>256</v>
      </c>
    </row>
    <row r="94" spans="1:3" x14ac:dyDescent="0.2">
      <c r="A94" s="189" t="s">
        <v>292</v>
      </c>
      <c r="B94" s="189" t="s">
        <v>296</v>
      </c>
      <c r="C94" s="190" t="s">
        <v>270</v>
      </c>
    </row>
    <row r="95" spans="1:3" x14ac:dyDescent="0.2">
      <c r="A95" s="190" t="s">
        <v>261</v>
      </c>
      <c r="B95" s="190" t="s">
        <v>260</v>
      </c>
      <c r="C95" s="189" t="s">
        <v>257</v>
      </c>
    </row>
    <row r="98" spans="1:3" x14ac:dyDescent="0.2">
      <c r="A98" s="190" t="s">
        <v>212</v>
      </c>
      <c r="B98" s="190" t="s">
        <v>212</v>
      </c>
      <c r="C98" s="190" t="s">
        <v>212</v>
      </c>
    </row>
    <row r="99" spans="1:3" x14ac:dyDescent="0.2">
      <c r="A99" s="190" t="s">
        <v>213</v>
      </c>
      <c r="B99" s="190" t="s">
        <v>213</v>
      </c>
      <c r="C99" s="190" t="s">
        <v>213</v>
      </c>
    </row>
    <row r="100" spans="1:3" x14ac:dyDescent="0.2">
      <c r="A100" s="190" t="s">
        <v>210</v>
      </c>
      <c r="B100" s="190" t="s">
        <v>210</v>
      </c>
      <c r="C100" s="190" t="s">
        <v>210</v>
      </c>
    </row>
    <row r="101" spans="1:3" x14ac:dyDescent="0.2">
      <c r="A101" s="190" t="s">
        <v>211</v>
      </c>
      <c r="B101" s="190" t="s">
        <v>211</v>
      </c>
      <c r="C101" s="190" t="s">
        <v>211</v>
      </c>
    </row>
    <row r="102" spans="1:3" x14ac:dyDescent="0.2">
      <c r="A102" s="190" t="s">
        <v>215</v>
      </c>
      <c r="B102" s="190" t="s">
        <v>216</v>
      </c>
      <c r="C102" s="190" t="s">
        <v>214</v>
      </c>
    </row>
    <row r="103" spans="1:3" x14ac:dyDescent="0.2">
      <c r="A103" s="190" t="s">
        <v>198</v>
      </c>
      <c r="B103" s="190" t="s">
        <v>307</v>
      </c>
      <c r="C103" s="190" t="s">
        <v>307</v>
      </c>
    </row>
    <row r="104" spans="1:3" x14ac:dyDescent="0.2">
      <c r="A104" s="190" t="s">
        <v>199</v>
      </c>
      <c r="B104" s="190" t="s">
        <v>203</v>
      </c>
      <c r="C104" s="190" t="s">
        <v>203</v>
      </c>
    </row>
    <row r="105" spans="1:3" x14ac:dyDescent="0.2">
      <c r="A105" s="190" t="s">
        <v>200</v>
      </c>
      <c r="B105" s="190" t="s">
        <v>204</v>
      </c>
      <c r="C105" s="190" t="s">
        <v>204</v>
      </c>
    </row>
    <row r="106" spans="1:3" x14ac:dyDescent="0.2">
      <c r="A106" s="190" t="s">
        <v>201</v>
      </c>
      <c r="B106" s="190" t="s">
        <v>262</v>
      </c>
      <c r="C106" s="190" t="s">
        <v>262</v>
      </c>
    </row>
    <row r="107" spans="1:3" x14ac:dyDescent="0.2">
      <c r="A107" s="190" t="s">
        <v>202</v>
      </c>
      <c r="B107" s="190" t="s">
        <v>306</v>
      </c>
      <c r="C107" s="190" t="s">
        <v>306</v>
      </c>
    </row>
    <row r="108" spans="1:3" x14ac:dyDescent="0.2">
      <c r="A108" s="190"/>
    </row>
    <row r="109" spans="1:3" x14ac:dyDescent="0.2">
      <c r="A109" s="192" t="s">
        <v>325</v>
      </c>
      <c r="B109" s="192" t="s">
        <v>326</v>
      </c>
      <c r="C109" s="200" t="s">
        <v>299</v>
      </c>
    </row>
    <row r="110" spans="1:3" x14ac:dyDescent="0.2">
      <c r="A110" s="190" t="s">
        <v>302</v>
      </c>
      <c r="B110" s="190" t="s">
        <v>300</v>
      </c>
      <c r="C110" s="201" t="s">
        <v>297</v>
      </c>
    </row>
    <row r="111" spans="1:3" x14ac:dyDescent="0.2">
      <c r="A111" s="190" t="s">
        <v>303</v>
      </c>
      <c r="B111" s="190" t="s">
        <v>301</v>
      </c>
      <c r="C111" s="201" t="s">
        <v>298</v>
      </c>
    </row>
    <row r="112" spans="1:3" x14ac:dyDescent="0.2">
      <c r="A112" s="190"/>
    </row>
    <row r="113" spans="1:7" x14ac:dyDescent="0.2">
      <c r="A113" s="190"/>
    </row>
    <row r="114" spans="1:7" x14ac:dyDescent="0.2">
      <c r="A114" s="190"/>
    </row>
    <row r="115" spans="1:7" x14ac:dyDescent="0.2">
      <c r="A115" s="189" t="s">
        <v>123</v>
      </c>
      <c r="B115" s="189" t="s">
        <v>124</v>
      </c>
      <c r="C115" s="190" t="s">
        <v>205</v>
      </c>
    </row>
    <row r="117" spans="1:7" x14ac:dyDescent="0.2">
      <c r="A117" s="189" t="s">
        <v>273</v>
      </c>
      <c r="B117" s="189" t="s">
        <v>281</v>
      </c>
      <c r="C117" s="190" t="s">
        <v>156</v>
      </c>
    </row>
    <row r="118" spans="1:7" x14ac:dyDescent="0.2">
      <c r="A118" s="189" t="s">
        <v>274</v>
      </c>
      <c r="B118" s="189" t="s">
        <v>282</v>
      </c>
      <c r="C118" s="190" t="s">
        <v>157</v>
      </c>
    </row>
    <row r="119" spans="1:7" x14ac:dyDescent="0.2">
      <c r="A119" s="189" t="s">
        <v>275</v>
      </c>
      <c r="B119" s="189" t="s">
        <v>283</v>
      </c>
      <c r="C119" s="190" t="s">
        <v>158</v>
      </c>
    </row>
    <row r="120" spans="1:7" x14ac:dyDescent="0.2">
      <c r="A120" s="189" t="s">
        <v>276</v>
      </c>
      <c r="B120" s="189" t="s">
        <v>284</v>
      </c>
      <c r="C120" s="190" t="s">
        <v>159</v>
      </c>
    </row>
    <row r="121" spans="1:7" x14ac:dyDescent="0.2">
      <c r="A121" s="189" t="s">
        <v>277</v>
      </c>
      <c r="B121" s="189" t="s">
        <v>285</v>
      </c>
      <c r="C121" s="190" t="s">
        <v>160</v>
      </c>
    </row>
    <row r="122" spans="1:7" x14ac:dyDescent="0.2">
      <c r="A122" s="189" t="s">
        <v>278</v>
      </c>
      <c r="B122" s="189" t="s">
        <v>286</v>
      </c>
      <c r="C122" s="190" t="s">
        <v>225</v>
      </c>
    </row>
    <row r="123" spans="1:7" x14ac:dyDescent="0.2">
      <c r="A123" s="189" t="s">
        <v>279</v>
      </c>
      <c r="B123" s="189" t="s">
        <v>287</v>
      </c>
      <c r="C123" s="190" t="s">
        <v>226</v>
      </c>
    </row>
    <row r="124" spans="1:7" x14ac:dyDescent="0.2">
      <c r="A124" s="189" t="s">
        <v>280</v>
      </c>
      <c r="B124" s="189" t="s">
        <v>288</v>
      </c>
      <c r="C124" s="190" t="s">
        <v>227</v>
      </c>
    </row>
    <row r="126" spans="1:7" x14ac:dyDescent="0.2">
      <c r="A126" s="190" t="s">
        <v>242</v>
      </c>
      <c r="B126" s="192" t="s">
        <v>245</v>
      </c>
      <c r="C126" s="190" t="s">
        <v>241</v>
      </c>
      <c r="D126" s="44"/>
      <c r="E126" s="44"/>
      <c r="F126" s="44"/>
      <c r="G126" s="44"/>
    </row>
    <row r="127" spans="1:7" x14ac:dyDescent="0.2">
      <c r="A127" s="190" t="s">
        <v>235</v>
      </c>
      <c r="B127" s="192" t="s">
        <v>244</v>
      </c>
      <c r="C127" s="190" t="s">
        <v>221</v>
      </c>
      <c r="D127" s="44"/>
      <c r="E127" s="44"/>
      <c r="F127" s="44"/>
      <c r="G127" s="44"/>
    </row>
    <row r="128" spans="1:7" x14ac:dyDescent="0.2">
      <c r="A128" s="190" t="s">
        <v>234</v>
      </c>
      <c r="B128" s="192" t="s">
        <v>243</v>
      </c>
      <c r="C128" s="190" t="s">
        <v>222</v>
      </c>
      <c r="D128" s="44"/>
      <c r="E128" s="44"/>
      <c r="F128" s="44"/>
      <c r="G128" s="44"/>
    </row>
    <row r="129" spans="1:7" x14ac:dyDescent="0.2">
      <c r="A129" s="190" t="s">
        <v>236</v>
      </c>
      <c r="B129" s="192" t="s">
        <v>246</v>
      </c>
      <c r="C129" s="190" t="s">
        <v>223</v>
      </c>
      <c r="D129" s="44"/>
      <c r="E129" s="44"/>
      <c r="F129" s="44"/>
      <c r="G129" s="44"/>
    </row>
    <row r="130" spans="1:7" x14ac:dyDescent="0.2">
      <c r="A130" s="190" t="s">
        <v>237</v>
      </c>
      <c r="B130" s="192" t="s">
        <v>247</v>
      </c>
      <c r="C130" s="190" t="s">
        <v>224</v>
      </c>
      <c r="D130" s="44"/>
      <c r="E130" s="44"/>
      <c r="F130" s="44"/>
      <c r="G130" s="44"/>
    </row>
    <row r="131" spans="1:7" ht="12.75" customHeight="1" x14ac:dyDescent="0.2">
      <c r="A131" s="190" t="s">
        <v>238</v>
      </c>
      <c r="B131" s="192" t="s">
        <v>248</v>
      </c>
      <c r="C131" s="190" t="s">
        <v>228</v>
      </c>
      <c r="D131" s="44"/>
      <c r="E131" s="44"/>
      <c r="F131" s="44"/>
      <c r="G131" s="44"/>
    </row>
    <row r="132" spans="1:7" x14ac:dyDescent="0.2">
      <c r="A132" s="190" t="s">
        <v>240</v>
      </c>
      <c r="B132" s="192" t="s">
        <v>250</v>
      </c>
      <c r="C132" s="190" t="s">
        <v>249</v>
      </c>
      <c r="D132" s="44"/>
      <c r="E132" s="44"/>
      <c r="F132" s="44"/>
      <c r="G132" s="44"/>
    </row>
    <row r="133" spans="1:7" x14ac:dyDescent="0.2">
      <c r="A133" s="190" t="s">
        <v>239</v>
      </c>
      <c r="B133" s="192" t="s">
        <v>327</v>
      </c>
      <c r="C133" s="190" t="s">
        <v>229</v>
      </c>
      <c r="D133" s="44"/>
      <c r="E133" s="44"/>
      <c r="F133" s="44"/>
      <c r="G133" s="44"/>
    </row>
    <row r="134" spans="1:7" x14ac:dyDescent="0.2">
      <c r="D134" s="44"/>
      <c r="E134" s="44"/>
      <c r="F134" s="44"/>
      <c r="G134" s="44"/>
    </row>
    <row r="135" spans="1:7" x14ac:dyDescent="0.2">
      <c r="A135" s="190" t="s">
        <v>263</v>
      </c>
      <c r="B135" s="190" t="s">
        <v>264</v>
      </c>
      <c r="C135" s="190" t="s">
        <v>329</v>
      </c>
    </row>
    <row r="137" spans="1:7" x14ac:dyDescent="0.2">
      <c r="A137" s="231" t="s">
        <v>335</v>
      </c>
      <c r="B137" s="190" t="s">
        <v>334</v>
      </c>
      <c r="C137" s="231" t="s">
        <v>333</v>
      </c>
    </row>
    <row r="138" spans="1:7" x14ac:dyDescent="0.2">
      <c r="A138" s="231" t="s">
        <v>340</v>
      </c>
      <c r="B138" s="190" t="s">
        <v>339</v>
      </c>
      <c r="C138" s="231" t="s">
        <v>338</v>
      </c>
    </row>
    <row r="139" spans="1:7" x14ac:dyDescent="0.2">
      <c r="A139" s="190" t="s">
        <v>341</v>
      </c>
      <c r="B139" s="190" t="s">
        <v>342</v>
      </c>
      <c r="C139" s="190" t="s">
        <v>336</v>
      </c>
    </row>
    <row r="140" spans="1:7" x14ac:dyDescent="0.2">
      <c r="A140" s="190" t="s">
        <v>352</v>
      </c>
      <c r="B140" s="190" t="s">
        <v>337</v>
      </c>
      <c r="C140" s="190" t="s">
        <v>337</v>
      </c>
    </row>
    <row r="141" spans="1:7" x14ac:dyDescent="0.2">
      <c r="A141" s="231" t="s">
        <v>351</v>
      </c>
      <c r="B141" s="231" t="s">
        <v>350</v>
      </c>
      <c r="C141" s="190" t="s">
        <v>344</v>
      </c>
    </row>
    <row r="142" spans="1:7" x14ac:dyDescent="0.2">
      <c r="A142" s="231" t="s">
        <v>358</v>
      </c>
      <c r="B142" s="231" t="s">
        <v>359</v>
      </c>
      <c r="C142" s="190" t="s">
        <v>346</v>
      </c>
    </row>
    <row r="143" spans="1:7" x14ac:dyDescent="0.2">
      <c r="A143" s="231" t="s">
        <v>353</v>
      </c>
      <c r="B143" s="231" t="s">
        <v>347</v>
      </c>
      <c r="C143" s="190" t="s">
        <v>347</v>
      </c>
    </row>
    <row r="145" spans="1:3" x14ac:dyDescent="0.2">
      <c r="A145" s="190" t="s">
        <v>356</v>
      </c>
      <c r="B145" s="190" t="s">
        <v>345</v>
      </c>
      <c r="C145" s="190" t="s">
        <v>343</v>
      </c>
    </row>
    <row r="147" spans="1:3" x14ac:dyDescent="0.2">
      <c r="A147" s="190" t="s">
        <v>360</v>
      </c>
      <c r="B147" s="190" t="s">
        <v>348</v>
      </c>
      <c r="C147" s="190" t="s">
        <v>354</v>
      </c>
    </row>
    <row r="148" spans="1:3" x14ac:dyDescent="0.2">
      <c r="A148" s="190" t="s">
        <v>357</v>
      </c>
      <c r="B148" s="190" t="s">
        <v>349</v>
      </c>
      <c r="C148" s="190" t="s">
        <v>355</v>
      </c>
    </row>
    <row r="150" spans="1:3" x14ac:dyDescent="0.2">
      <c r="A150" s="190" t="s">
        <v>362</v>
      </c>
      <c r="B150" s="190" t="s">
        <v>363</v>
      </c>
      <c r="C150" s="190" t="s">
        <v>361</v>
      </c>
    </row>
  </sheetData>
  <sheetProtection password="8111" sheet="1" objects="1" scenarios="1"/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72"/>
  <sheetViews>
    <sheetView showGridLines="0" topLeftCell="A4" zoomScaleNormal="100" workbookViewId="0">
      <selection activeCell="H18" sqref="H18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11" width="14.85546875" style="38" customWidth="1"/>
    <col min="12" max="12" width="6.28515625" style="38" customWidth="1"/>
    <col min="13" max="13" width="17.42578125" style="38" hidden="1" customWidth="1"/>
    <col min="14" max="14" width="9.140625" style="7" hidden="1" customWidth="1"/>
    <col min="15" max="19" width="5.28515625" style="7" hidden="1" customWidth="1"/>
    <col min="20" max="20" width="9.140625" style="7" hidden="1" customWidth="1"/>
    <col min="21" max="21" width="13.7109375" style="7" customWidth="1"/>
    <col min="22" max="22" width="14.140625" style="7" customWidth="1"/>
    <col min="23" max="24" width="0" style="7" hidden="1" customWidth="1"/>
    <col min="25" max="25" width="8.85546875" style="7" hidden="1" customWidth="1"/>
    <col min="26" max="28" width="0" style="7" hidden="1" customWidth="1"/>
    <col min="29" max="29" width="7.7109375" style="7" hidden="1" customWidth="1"/>
    <col min="30" max="39" width="0" style="7" hidden="1" customWidth="1"/>
    <col min="40" max="16384" width="9.140625" style="7"/>
  </cols>
  <sheetData>
    <row r="1" spans="1:51" s="2" customFormat="1" ht="52.5" customHeight="1" thickBot="1" x14ac:dyDescent="0.25">
      <c r="A1" s="257" t="s">
        <v>330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48"/>
      <c r="N1" s="248"/>
      <c r="O1" s="248"/>
      <c r="P1" s="248"/>
      <c r="Q1" s="248"/>
      <c r="R1" s="248"/>
      <c r="S1" s="248"/>
      <c r="T1" s="39"/>
      <c r="U1" s="52"/>
      <c r="V1" s="58"/>
      <c r="W1" s="58"/>
      <c r="X1" s="53"/>
      <c r="Y1" s="52"/>
      <c r="Z1" s="52"/>
      <c r="AA1" s="53"/>
      <c r="AB1" s="52"/>
      <c r="AC1" s="53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3"/>
      <c r="AO1" s="53"/>
      <c r="AP1" s="54"/>
      <c r="AQ1" s="55"/>
      <c r="AR1" s="56"/>
      <c r="AS1" s="56"/>
      <c r="AT1" s="56"/>
      <c r="AU1" s="56"/>
      <c r="AV1" s="57"/>
      <c r="AW1" s="57"/>
      <c r="AX1" s="57"/>
      <c r="AY1" s="67"/>
    </row>
    <row r="2" spans="1:51" s="2" customFormat="1" ht="33.75" customHeight="1" thickBot="1" x14ac:dyDescent="0.25">
      <c r="A2" s="247" t="s">
        <v>332</v>
      </c>
      <c r="B2" s="254" t="s">
        <v>331</v>
      </c>
      <c r="C2" s="255"/>
      <c r="D2" s="255"/>
      <c r="E2" s="255"/>
      <c r="F2" s="255"/>
      <c r="G2" s="255"/>
      <c r="H2" s="255"/>
      <c r="I2" s="255"/>
      <c r="J2" s="255"/>
      <c r="K2" s="256"/>
      <c r="L2" s="251" t="s">
        <v>332</v>
      </c>
      <c r="M2" s="249"/>
      <c r="N2" s="249"/>
      <c r="O2" s="249"/>
      <c r="P2" s="249"/>
      <c r="Q2" s="249"/>
      <c r="R2" s="253"/>
      <c r="S2" s="253"/>
      <c r="T2" s="39"/>
      <c r="U2" s="52"/>
      <c r="V2" s="58"/>
      <c r="W2" s="58"/>
      <c r="X2" s="53"/>
      <c r="Y2" s="52"/>
      <c r="Z2" s="52"/>
      <c r="AA2" s="53"/>
      <c r="AB2" s="52"/>
      <c r="AC2" s="53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3"/>
      <c r="AO2" s="53"/>
      <c r="AP2" s="54"/>
      <c r="AQ2" s="55"/>
      <c r="AR2" s="56"/>
      <c r="AS2" s="56"/>
      <c r="AT2" s="56"/>
      <c r="AU2" s="56"/>
      <c r="AV2" s="57"/>
      <c r="AW2" s="57"/>
      <c r="AX2" s="57"/>
      <c r="AY2" s="67"/>
    </row>
    <row r="3" spans="1:51" s="2" customFormat="1" ht="15.75" customHeight="1" x14ac:dyDescent="0.2">
      <c r="A3" s="258" t="s">
        <v>332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0"/>
      <c r="N3" s="250"/>
      <c r="O3" s="250"/>
      <c r="P3" s="250"/>
      <c r="Q3" s="250"/>
      <c r="R3" s="250"/>
      <c r="S3" s="250"/>
      <c r="T3" s="39"/>
      <c r="U3" s="52"/>
      <c r="V3" s="58"/>
      <c r="W3" s="58"/>
      <c r="X3" s="53"/>
      <c r="Y3" s="52"/>
      <c r="Z3" s="52"/>
      <c r="AA3" s="53"/>
      <c r="AB3" s="52"/>
      <c r="AC3" s="53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3"/>
      <c r="AO3" s="53"/>
      <c r="AP3" s="54"/>
      <c r="AQ3" s="55"/>
      <c r="AR3" s="56"/>
      <c r="AS3" s="56"/>
      <c r="AT3" s="56"/>
      <c r="AU3" s="56"/>
      <c r="AV3" s="57"/>
      <c r="AW3" s="57"/>
      <c r="AX3" s="57"/>
      <c r="AY3" s="67"/>
    </row>
    <row r="5" spans="1:51" ht="16.5" thickBot="1" x14ac:dyDescent="0.3">
      <c r="B5" s="9" t="str">
        <f>INDEX(T,56,lang)</f>
        <v>Созламалар</v>
      </c>
      <c r="C5" s="10"/>
      <c r="D5" s="11"/>
      <c r="F5" s="9" t="str">
        <f>INDEX(T,62,lang)</f>
        <v>Гуруҳ босқичи қоидаси (икки ёки ундан ортиқ жамоанинг очколари бир хил бўлса)</v>
      </c>
      <c r="G5" s="10"/>
      <c r="H5" s="10"/>
      <c r="I5" s="10"/>
      <c r="J5" s="10"/>
      <c r="K5" s="10"/>
      <c r="L5" s="11"/>
    </row>
    <row r="6" spans="1:51" x14ac:dyDescent="0.2">
      <c r="B6" s="12"/>
      <c r="C6" s="13"/>
      <c r="D6" s="14"/>
      <c r="F6" s="12"/>
      <c r="G6" s="13"/>
      <c r="H6" s="13"/>
      <c r="I6" s="13"/>
      <c r="J6" s="13"/>
      <c r="K6" s="13"/>
      <c r="L6" s="14"/>
    </row>
    <row r="7" spans="1:51" x14ac:dyDescent="0.2">
      <c r="B7" s="93" t="str">
        <f>INDEX(T,57,lang)</f>
        <v>Тил</v>
      </c>
      <c r="C7" s="59" t="s">
        <v>147</v>
      </c>
      <c r="D7" s="14"/>
      <c r="F7" s="94" t="str">
        <f>INDEX(T,117,lang)</f>
        <v>#1 қоида</v>
      </c>
      <c r="G7" s="267" t="str">
        <f>INDEX(T,126,lang)</f>
        <v>Ўзаро ўйинлардаги очколар сони</v>
      </c>
      <c r="H7" s="268"/>
      <c r="I7" s="268"/>
      <c r="J7" s="268"/>
      <c r="K7" s="269"/>
      <c r="L7" s="14"/>
    </row>
    <row r="8" spans="1:51" x14ac:dyDescent="0.2">
      <c r="B8" s="12"/>
      <c r="C8" s="13"/>
      <c r="D8" s="14"/>
      <c r="F8" s="94" t="str">
        <f>INDEX(T,118,lang)</f>
        <v>#2 қоида</v>
      </c>
      <c r="G8" s="270" t="str">
        <f>INDEX(T,127,lang)</f>
        <v>Ўзаро ўйинлардаги тўплар нисбати</v>
      </c>
      <c r="H8" s="271"/>
      <c r="I8" s="271"/>
      <c r="J8" s="271"/>
      <c r="K8" s="272"/>
      <c r="L8" s="14"/>
    </row>
    <row r="9" spans="1:51" x14ac:dyDescent="0.2">
      <c r="B9" s="12"/>
      <c r="C9" s="13"/>
      <c r="D9" s="14"/>
      <c r="F9" s="94" t="str">
        <f>INDEX(T,119,lang)</f>
        <v>#3 қоида</v>
      </c>
      <c r="G9" s="270" t="str">
        <f>INDEX(T,128,lang)</f>
        <v>Ўзаро ўйинларда урилган голлар сони</v>
      </c>
      <c r="H9" s="271"/>
      <c r="I9" s="271"/>
      <c r="J9" s="271"/>
      <c r="K9" s="272"/>
      <c r="L9" s="14"/>
    </row>
    <row r="10" spans="1:51" x14ac:dyDescent="0.2">
      <c r="B10" s="93" t="str">
        <f>INDEX(T,58,lang)</f>
        <v>Ёзги вақт</v>
      </c>
      <c r="C10" s="20" t="s">
        <v>148</v>
      </c>
      <c r="D10" s="14"/>
      <c r="F10" s="94" t="str">
        <f>INDEX(T,120,lang)</f>
        <v>#4 қоида</v>
      </c>
      <c r="G10" s="270" t="str">
        <f>INDEX(T,129,lang)</f>
        <v>Гуруҳнинг барча ўйинлардаги тўплар нисбати</v>
      </c>
      <c r="H10" s="271"/>
      <c r="I10" s="271"/>
      <c r="J10" s="271"/>
      <c r="K10" s="272"/>
      <c r="L10" s="14"/>
    </row>
    <row r="11" spans="1:51" x14ac:dyDescent="0.2">
      <c r="B11" s="12"/>
      <c r="C11" s="13"/>
      <c r="D11" s="14"/>
      <c r="F11" s="94" t="str">
        <f>INDEX(T,121,lang)</f>
        <v>#5 қоида</v>
      </c>
      <c r="G11" s="270" t="str">
        <f>INDEX(T,130,lang)</f>
        <v>Гуруҳнинг барча ўйинларда урилган голлар сони</v>
      </c>
      <c r="H11" s="271"/>
      <c r="I11" s="271"/>
      <c r="J11" s="271"/>
      <c r="K11" s="272"/>
      <c r="L11" s="14"/>
    </row>
    <row r="12" spans="1:51" ht="10.5" customHeight="1" x14ac:dyDescent="0.2">
      <c r="B12" s="12"/>
      <c r="C12" s="13"/>
      <c r="D12" s="14"/>
      <c r="F12" s="94" t="str">
        <f>INDEX(T,122,lang)</f>
        <v>#6 қоида</v>
      </c>
      <c r="G12" s="273" t="str">
        <f>INDEX(T,131,lang)</f>
        <v>1-5 қоидалар бўйича бир хил натижа кўрсатган икки жамоа сўнги ўйинда ўзаро куч синашаётган бўлса, у ҳолда пенальтилар серияси белгиланади</v>
      </c>
      <c r="H12" s="274"/>
      <c r="I12" s="274"/>
      <c r="J12" s="274"/>
      <c r="K12" s="275"/>
      <c r="L12" s="14"/>
    </row>
    <row r="13" spans="1:51" x14ac:dyDescent="0.2">
      <c r="B13" s="93" t="str">
        <f>INDEX(T,59,lang)</f>
        <v>GTM-Вақти</v>
      </c>
      <c r="C13" s="45" t="s">
        <v>70</v>
      </c>
      <c r="D13" s="14"/>
      <c r="F13" s="94"/>
      <c r="G13" s="273"/>
      <c r="H13" s="274"/>
      <c r="I13" s="274"/>
      <c r="J13" s="274"/>
      <c r="K13" s="275"/>
      <c r="L13" s="14"/>
    </row>
    <row r="14" spans="1:51" ht="3" customHeight="1" x14ac:dyDescent="0.2">
      <c r="B14" s="12"/>
      <c r="C14" s="13"/>
      <c r="D14" s="14"/>
      <c r="F14" s="94"/>
      <c r="G14" s="273"/>
      <c r="H14" s="274"/>
      <c r="I14" s="274"/>
      <c r="J14" s="274"/>
      <c r="K14" s="275"/>
      <c r="L14" s="14"/>
    </row>
    <row r="15" spans="1:51" x14ac:dyDescent="0.2">
      <c r="B15" s="12"/>
      <c r="C15" s="13"/>
      <c r="D15" s="14"/>
      <c r="F15" s="161" t="str">
        <f>INDEX(T,123,lang)</f>
        <v>#7 қоида</v>
      </c>
      <c r="G15" s="261" t="str">
        <f>INDEX(T,132,lang)</f>
        <v>Гуруҳ ўйинларидаги сариқ ва қизил карточкалар сонининг камлиги</v>
      </c>
      <c r="H15" s="262"/>
      <c r="I15" s="262"/>
      <c r="J15" s="262"/>
      <c r="K15" s="263"/>
      <c r="L15" s="14"/>
    </row>
    <row r="16" spans="1:51" x14ac:dyDescent="0.2">
      <c r="B16" s="93" t="str">
        <f>INDEX(T,60,lang)</f>
        <v>Минутлардаги фарқ</v>
      </c>
      <c r="C16" s="15" t="s">
        <v>55</v>
      </c>
      <c r="D16" s="14"/>
      <c r="F16" s="161" t="str">
        <f>INDEX(T,124,lang)</f>
        <v>#8 қоида</v>
      </c>
      <c r="G16" s="264" t="str">
        <f>INDEX(T,133,lang)</f>
        <v>Қуръа ташланади</v>
      </c>
      <c r="H16" s="265"/>
      <c r="I16" s="265"/>
      <c r="J16" s="265"/>
      <c r="K16" s="266"/>
      <c r="L16" s="14"/>
    </row>
    <row r="17" spans="2:29" x14ac:dyDescent="0.2">
      <c r="B17" s="16"/>
      <c r="C17" s="17"/>
      <c r="D17" s="18"/>
      <c r="F17" s="16"/>
      <c r="G17" s="17"/>
      <c r="H17" s="17"/>
      <c r="I17" s="17"/>
      <c r="J17" s="17"/>
      <c r="K17" s="17"/>
      <c r="L17" s="18"/>
    </row>
    <row r="18" spans="2:29" x14ac:dyDescent="0.2">
      <c r="B18" s="19"/>
      <c r="C18" s="19"/>
      <c r="D18" s="19"/>
      <c r="E18" s="19"/>
    </row>
    <row r="19" spans="2:29" ht="16.5" thickBot="1" x14ac:dyDescent="0.3">
      <c r="B19" s="34"/>
      <c r="C19" s="35"/>
      <c r="D19" s="36"/>
      <c r="F19" s="9" t="str">
        <f>INDEX(T,66,lang)</f>
        <v>Сариқ ва қизил карточкалар бўйича ҳисоб-китоб</v>
      </c>
      <c r="G19" s="155"/>
      <c r="H19" s="155"/>
      <c r="I19" s="155"/>
      <c r="J19" s="155"/>
      <c r="K19" s="155"/>
      <c r="L19" s="156"/>
    </row>
    <row r="20" spans="2:29" ht="16.5" thickBot="1" x14ac:dyDescent="0.3">
      <c r="B20" s="12"/>
      <c r="C20" s="134" t="str">
        <f>INDEX(T,64,lang)</f>
        <v>FIFA Рейтинги</v>
      </c>
      <c r="D20" s="14"/>
      <c r="F20" s="244" t="str">
        <f>INDEX(T,81,lang)</f>
        <v>1-устун:  Жамоа ўйинчилари олган сариқ карточкалар сони</v>
      </c>
      <c r="G20" s="163"/>
      <c r="H20" s="163"/>
      <c r="I20" s="163"/>
      <c r="J20" s="163"/>
      <c r="K20" s="163"/>
      <c r="L20" s="164"/>
    </row>
    <row r="21" spans="2:29" ht="15.75" x14ac:dyDescent="0.25">
      <c r="B21" s="37" t="str">
        <f>INDEX(T,46,lang)</f>
        <v>Эрон</v>
      </c>
      <c r="C21" s="135">
        <v>580</v>
      </c>
      <c r="D21" s="14"/>
      <c r="F21" s="245" t="str">
        <f>INDEX(T,82,lang)</f>
        <v>2-устун: Қизил карточкага айланган иккинчи сариқ карточкалар сони</v>
      </c>
      <c r="G21" s="162"/>
      <c r="H21" s="162"/>
      <c r="I21" s="162"/>
      <c r="J21" s="162"/>
      <c r="K21" s="162"/>
      <c r="L21" s="165"/>
    </row>
    <row r="22" spans="2:29" ht="15.75" x14ac:dyDescent="0.25">
      <c r="B22" s="37" t="str">
        <f>INDEX(T,50,lang)</f>
        <v>Япония</v>
      </c>
      <c r="C22" s="136">
        <v>563</v>
      </c>
      <c r="D22" s="14"/>
      <c r="F22" s="245" t="str">
        <f>INDEX(T,83,lang)</f>
        <v>3-устун: Тўғридан-тўғри берилган қизил карточкалар сони</v>
      </c>
      <c r="G22" s="162"/>
      <c r="H22" s="162"/>
      <c r="I22" s="162"/>
      <c r="J22" s="162"/>
      <c r="K22" s="162"/>
      <c r="L22" s="165"/>
    </row>
    <row r="23" spans="2:29" ht="18.75" customHeight="1" x14ac:dyDescent="0.2">
      <c r="B23" s="37" t="str">
        <f>INDEX(T,39,lang)</f>
        <v>Жанубий Корея</v>
      </c>
      <c r="C23" s="136">
        <v>481</v>
      </c>
      <c r="D23" s="14"/>
      <c r="F23" s="246" t="str">
        <f>INDEX(T,84,lang)</f>
        <v>4-устун: Сариқ карточкадан кейин тўғридан-тўғри берилган қизил карточкалар сони</v>
      </c>
      <c r="G23" s="166"/>
      <c r="H23" s="166"/>
      <c r="I23" s="166"/>
      <c r="J23" s="166"/>
      <c r="K23" s="166"/>
      <c r="L23" s="167"/>
    </row>
    <row r="24" spans="2:29" x14ac:dyDescent="0.2">
      <c r="B24" s="37" t="str">
        <f>INDEX(T,42,lang)</f>
        <v>Ўзбекистон</v>
      </c>
      <c r="C24" s="136">
        <v>454</v>
      </c>
      <c r="D24" s="14"/>
      <c r="L24" s="154"/>
    </row>
    <row r="25" spans="2:29" ht="13.5" thickBot="1" x14ac:dyDescent="0.25">
      <c r="B25" s="37" t="str">
        <f>INDEX(T,47,lang)</f>
        <v>БАА</v>
      </c>
      <c r="C25" s="136">
        <v>393</v>
      </c>
      <c r="D25" s="14"/>
      <c r="F25" s="46" t="str">
        <f>INDEX(T,9,lang) &amp; " " &amp; "A"</f>
        <v>Гуруҳ A</v>
      </c>
      <c r="G25" s="47" t="str">
        <f>INDEX(T,91,lang)</f>
        <v>Сариқ карточка</v>
      </c>
      <c r="H25" s="47" t="str">
        <f>INDEX(T,92,lang)</f>
        <v>2-сариқ</v>
      </c>
      <c r="I25" s="47" t="str">
        <f>INDEX(T,93,lang)</f>
        <v>Қизил карточка</v>
      </c>
      <c r="J25" s="47" t="str">
        <f>INDEX(T,94,lang)</f>
        <v>Сариқ &gt; қизил</v>
      </c>
      <c r="K25" s="47" t="str">
        <f>INDEX(T,15,lang)</f>
        <v>Очколар</v>
      </c>
      <c r="L25" s="157" t="str">
        <f>INDEX(T,95,lang)</f>
        <v>Ўрин</v>
      </c>
      <c r="U25" s="259" t="str">
        <f>INDEX(T,109,lang)</f>
        <v>Қуръа натижаси:</v>
      </c>
      <c r="V25" s="260"/>
    </row>
    <row r="26" spans="2:29" x14ac:dyDescent="0.2">
      <c r="B26" s="37" t="str">
        <f>INDEX(T,51,lang)</f>
        <v>Иордания</v>
      </c>
      <c r="C26" s="136">
        <v>393</v>
      </c>
      <c r="D26" s="14"/>
      <c r="F26" s="207" t="str">
        <f>INDEX(T,38,lang)</f>
        <v>Австралия</v>
      </c>
      <c r="G26" s="252"/>
      <c r="H26" s="26"/>
      <c r="I26" s="252"/>
      <c r="J26" s="26"/>
      <c r="K26" s="26">
        <f>S26</f>
        <v>0</v>
      </c>
      <c r="L26" s="158">
        <f>COUNTIF(T26:T29,CONCATENATE("&gt;=",T26))</f>
        <v>4</v>
      </c>
      <c r="M26" s="169" t="str">
        <f>INDEX(T,38,lang)</f>
        <v>Австралия</v>
      </c>
      <c r="N26" s="205">
        <f>T26+1000+AC26</f>
        <v>1000</v>
      </c>
      <c r="O26" s="206">
        <f>G26*1</f>
        <v>0</v>
      </c>
      <c r="P26" s="206">
        <f>H26*3</f>
        <v>0</v>
      </c>
      <c r="Q26" s="206">
        <f>I26*3</f>
        <v>0</v>
      </c>
      <c r="R26" s="206">
        <f>J26*4</f>
        <v>0</v>
      </c>
      <c r="S26" s="206">
        <f>O26+P26+Q26+R26</f>
        <v>0</v>
      </c>
      <c r="T26" s="206">
        <f>(S26*-1)+AC26</f>
        <v>0</v>
      </c>
      <c r="U26" s="174" t="str">
        <f>INDEX(T,110,lang)</f>
        <v>1-ўрин:</v>
      </c>
      <c r="V26" s="171"/>
      <c r="Y26" s="205">
        <f>IF(V26="",0,IF(V26=F26,2,IF(V26=F27,0,IF(V26=F28,0,IF(V26=F29,0)))))</f>
        <v>0</v>
      </c>
      <c r="Z26" s="205">
        <f>IF(V27="",0,IF(V27=F26,1,IF(V27=F27,0,IF(V27=F28,0,IF(V27=F29,0)))))</f>
        <v>0</v>
      </c>
      <c r="AA26" s="205">
        <f>Y26+Z26</f>
        <v>0</v>
      </c>
      <c r="AB26" s="205">
        <f>MAX(AA26:AA29)</f>
        <v>0</v>
      </c>
      <c r="AC26" s="205">
        <f>AA26/99</f>
        <v>0</v>
      </c>
    </row>
    <row r="27" spans="2:29" x14ac:dyDescent="0.2">
      <c r="B27" s="37" t="str">
        <f>INDEX(T,40,lang)</f>
        <v>Уммон</v>
      </c>
      <c r="C27" s="136">
        <v>347</v>
      </c>
      <c r="D27" s="14"/>
      <c r="F27" s="208" t="str">
        <f>INDEX(T,39,lang)</f>
        <v>Жанубий Корея</v>
      </c>
      <c r="G27" s="28"/>
      <c r="H27" s="28"/>
      <c r="I27" s="28"/>
      <c r="J27" s="28"/>
      <c r="K27" s="28">
        <f>S27</f>
        <v>0</v>
      </c>
      <c r="L27" s="159">
        <f>COUNTIF(T26:T29,CONCATENATE("&gt;=",T27))</f>
        <v>4</v>
      </c>
      <c r="M27" s="169" t="str">
        <f>INDEX(T,39,lang)</f>
        <v>Жанубий Корея</v>
      </c>
      <c r="N27" s="205">
        <f t="shared" ref="N27:N29" si="0">T27+1000+AC27</f>
        <v>1000</v>
      </c>
      <c r="O27" s="206">
        <f t="shared" ref="O27:O29" si="1">G27*1</f>
        <v>0</v>
      </c>
      <c r="P27" s="206">
        <f t="shared" ref="P27:P29" si="2">H27*3</f>
        <v>0</v>
      </c>
      <c r="Q27" s="206">
        <f t="shared" ref="Q27:Q29" si="3">I27*3</f>
        <v>0</v>
      </c>
      <c r="R27" s="206">
        <f t="shared" ref="R27:R29" si="4">J27*4</f>
        <v>0</v>
      </c>
      <c r="S27" s="206">
        <f t="shared" ref="S27:S29" si="5">O27+P27+Q27+R27</f>
        <v>0</v>
      </c>
      <c r="T27" s="206">
        <f t="shared" ref="T27:T29" si="6">(S27*-1)+AC27</f>
        <v>0</v>
      </c>
      <c r="U27" s="173" t="str">
        <f>INDEX(T,111,lang)</f>
        <v>2-ўрин:</v>
      </c>
      <c r="V27" s="172"/>
      <c r="Y27" s="205">
        <f>IF(V26="",0,IF(V26=F26,0,IF(V26=F27,2,IF(V26=F28,0,IF(V26=F29,0)))))</f>
        <v>0</v>
      </c>
      <c r="Z27" s="205">
        <f>IF(V27="",0,IF(V27=F26,0,IF(V27=F27,1,IF(V27=F28,0,IF(V27=F29,0)))))</f>
        <v>0</v>
      </c>
      <c r="AA27" s="205">
        <f t="shared" ref="AA27:AA29" si="7">Y27+Z27</f>
        <v>0</v>
      </c>
      <c r="AB27" s="205"/>
      <c r="AC27" s="205">
        <f t="shared" ref="AC27:AC29" si="8">AA27/99</f>
        <v>0</v>
      </c>
    </row>
    <row r="28" spans="2:29" x14ac:dyDescent="0.2">
      <c r="B28" s="37" t="str">
        <f>INDEX(T,48,lang)</f>
        <v>Қатар</v>
      </c>
      <c r="C28" s="136">
        <v>342</v>
      </c>
      <c r="D28" s="14"/>
      <c r="F28" s="208" t="str">
        <f>INDEX(T,40,lang)</f>
        <v>Уммон</v>
      </c>
      <c r="G28" s="28"/>
      <c r="H28" s="28"/>
      <c r="I28" s="28"/>
      <c r="J28" s="28"/>
      <c r="K28" s="28">
        <f>S28</f>
        <v>0</v>
      </c>
      <c r="L28" s="159">
        <f>COUNTIF(T26:T29,CONCATENATE("&gt;=",T28))</f>
        <v>4</v>
      </c>
      <c r="M28" s="169" t="str">
        <f>INDEX(T,40,lang)</f>
        <v>Уммон</v>
      </c>
      <c r="N28" s="205">
        <f t="shared" si="0"/>
        <v>1000</v>
      </c>
      <c r="O28" s="206">
        <f t="shared" si="1"/>
        <v>0</v>
      </c>
      <c r="P28" s="206">
        <f t="shared" si="2"/>
        <v>0</v>
      </c>
      <c r="Q28" s="206">
        <f t="shared" si="3"/>
        <v>0</v>
      </c>
      <c r="R28" s="206">
        <f t="shared" si="4"/>
        <v>0</v>
      </c>
      <c r="S28" s="206">
        <f t="shared" si="5"/>
        <v>0</v>
      </c>
      <c r="T28" s="206">
        <f t="shared" si="6"/>
        <v>0</v>
      </c>
      <c r="U28" s="38"/>
      <c r="Y28" s="205">
        <f>IF(V26="",0,IF(V26=F26,0,IF(V26=F27,0,IF(V26=F28,2,IF(V26=F29,0)))))</f>
        <v>0</v>
      </c>
      <c r="Z28" s="205">
        <f>IF(V27="",0,IF(V27=F26,0,IF(V27=F27,0,IF(V27=F28,1,IF(V27=F29,0)))))</f>
        <v>0</v>
      </c>
      <c r="AA28" s="205">
        <f t="shared" si="7"/>
        <v>0</v>
      </c>
      <c r="AB28" s="205"/>
      <c r="AC28" s="205">
        <f t="shared" si="8"/>
        <v>0</v>
      </c>
    </row>
    <row r="29" spans="2:29" x14ac:dyDescent="0.2">
      <c r="B29" s="37" t="str">
        <f>INDEX(T,44,lang)</f>
        <v>Хитой</v>
      </c>
      <c r="C29" s="136">
        <v>336</v>
      </c>
      <c r="D29" s="14"/>
      <c r="F29" s="209" t="str">
        <f>INDEX(T,41,lang)</f>
        <v>Кувайт</v>
      </c>
      <c r="G29" s="30"/>
      <c r="H29" s="30"/>
      <c r="I29" s="30"/>
      <c r="J29" s="30"/>
      <c r="K29" s="30">
        <f>S29</f>
        <v>0</v>
      </c>
      <c r="L29" s="160">
        <f>COUNTIF(T26:T29,CONCATENATE("&gt;=",T29))</f>
        <v>4</v>
      </c>
      <c r="M29" s="169" t="str">
        <f>INDEX(T,41,lang)</f>
        <v>Кувайт</v>
      </c>
      <c r="N29" s="205">
        <f t="shared" si="0"/>
        <v>1000</v>
      </c>
      <c r="O29" s="206">
        <f t="shared" si="1"/>
        <v>0</v>
      </c>
      <c r="P29" s="206">
        <f t="shared" si="2"/>
        <v>0</v>
      </c>
      <c r="Q29" s="206">
        <f t="shared" si="3"/>
        <v>0</v>
      </c>
      <c r="R29" s="206">
        <f t="shared" si="4"/>
        <v>0</v>
      </c>
      <c r="S29" s="206">
        <f t="shared" si="5"/>
        <v>0</v>
      </c>
      <c r="T29" s="206">
        <f t="shared" si="6"/>
        <v>0</v>
      </c>
      <c r="U29" s="38"/>
      <c r="Y29" s="205">
        <f>IF(V26="",0,IF(V26=F26,0,IF(V26=F27,0,IF(V26=F28,0,IF(V26=F29,2)))))</f>
        <v>0</v>
      </c>
      <c r="Z29" s="205">
        <f>IF(V27="",0,IF(V27=F26,0,IF(V27=F27,0,IF(V27=F28,0,IF(V27=F29,1)))))</f>
        <v>0</v>
      </c>
      <c r="AA29" s="205">
        <f t="shared" si="7"/>
        <v>0</v>
      </c>
      <c r="AB29" s="205"/>
      <c r="AC29" s="205">
        <f t="shared" si="8"/>
        <v>0</v>
      </c>
    </row>
    <row r="30" spans="2:29" x14ac:dyDescent="0.2">
      <c r="B30" s="37" t="str">
        <f>INDEX(T,38,lang)</f>
        <v>Австралия</v>
      </c>
      <c r="C30" s="136">
        <v>324</v>
      </c>
      <c r="D30" s="14"/>
      <c r="L30" s="154"/>
      <c r="N30" s="205"/>
      <c r="O30" s="205"/>
      <c r="P30" s="205"/>
      <c r="Q30" s="205"/>
      <c r="R30" s="205"/>
      <c r="S30" s="205"/>
      <c r="T30" s="206"/>
      <c r="U30" s="38"/>
      <c r="Y30" s="205"/>
      <c r="Z30" s="205"/>
      <c r="AA30" s="205"/>
      <c r="AB30" s="205"/>
      <c r="AC30" s="205"/>
    </row>
    <row r="31" spans="2:29" x14ac:dyDescent="0.2">
      <c r="B31" s="37" t="str">
        <f>INDEX(T,43,lang)</f>
        <v>С.Арабистони</v>
      </c>
      <c r="C31" s="136">
        <v>323</v>
      </c>
      <c r="D31" s="14"/>
      <c r="F31" s="46" t="str">
        <f>INDEX(T,9,lang) &amp; " " &amp; "B"</f>
        <v>Гуруҳ B</v>
      </c>
      <c r="G31" s="47" t="str">
        <f>INDEX(T,91,lang)</f>
        <v>Сариқ карточка</v>
      </c>
      <c r="H31" s="47" t="str">
        <f>INDEX(T,92,lang)</f>
        <v>2-сариқ</v>
      </c>
      <c r="I31" s="47" t="str">
        <f>INDEX(T,93,lang)</f>
        <v>Қизил карточка</v>
      </c>
      <c r="J31" s="47" t="str">
        <f>INDEX(T,94,lang)</f>
        <v>Сариқ &gt; қизил</v>
      </c>
      <c r="K31" s="47" t="str">
        <f>INDEX(T,15,lang)</f>
        <v>Очколар</v>
      </c>
      <c r="L31" s="157" t="str">
        <f>INDEX(T,95,lang)</f>
        <v>Ўрин</v>
      </c>
      <c r="N31" s="205"/>
      <c r="O31" s="205"/>
      <c r="P31" s="205"/>
      <c r="Q31" s="205"/>
      <c r="R31" s="205"/>
      <c r="S31" s="205"/>
      <c r="T31" s="206"/>
      <c r="U31" s="38"/>
      <c r="Y31" s="205"/>
      <c r="Z31" s="205"/>
      <c r="AA31" s="205"/>
      <c r="AB31" s="205"/>
      <c r="AC31" s="205"/>
    </row>
    <row r="32" spans="2:29" x14ac:dyDescent="0.2">
      <c r="B32" s="37" t="str">
        <f>INDEX(T,52,lang)</f>
        <v>Ироқ</v>
      </c>
      <c r="C32" s="136">
        <v>320</v>
      </c>
      <c r="D32" s="14"/>
      <c r="F32" s="207" t="str">
        <f>INDEX(T,42,lang)</f>
        <v>Ўзбекистон</v>
      </c>
      <c r="G32" s="26"/>
      <c r="H32" s="26"/>
      <c r="I32" s="26"/>
      <c r="J32" s="26"/>
      <c r="K32" s="26">
        <f>S32</f>
        <v>0</v>
      </c>
      <c r="L32" s="158">
        <f>COUNTIF(T32:T35,CONCATENATE("&gt;=",T32))</f>
        <v>4</v>
      </c>
      <c r="M32" s="170" t="str">
        <f>INDEX(T,42,lang)</f>
        <v>Ўзбекистон</v>
      </c>
      <c r="N32" s="205">
        <f>T32+1000+AC32</f>
        <v>1000</v>
      </c>
      <c r="O32" s="206">
        <f>G32*1</f>
        <v>0</v>
      </c>
      <c r="P32" s="206">
        <f>H32*3</f>
        <v>0</v>
      </c>
      <c r="Q32" s="206">
        <f>I32*3</f>
        <v>0</v>
      </c>
      <c r="R32" s="206">
        <f>J32*4</f>
        <v>0</v>
      </c>
      <c r="S32" s="206">
        <f>O32+P32+Q32+R32</f>
        <v>0</v>
      </c>
      <c r="T32" s="206">
        <f>(S32*-1)+AC32</f>
        <v>0</v>
      </c>
      <c r="U32" s="173" t="str">
        <f>INDEX(T,110,lang)</f>
        <v>1-ўрин:</v>
      </c>
      <c r="V32" s="172"/>
      <c r="Y32" s="205">
        <f>IF(V32="",0,IF(V32=F32,2,IF(V32=F33,0,IF(V32=F34,0,IF(V32=F35,0)))))</f>
        <v>0</v>
      </c>
      <c r="Z32" s="205">
        <f>IF(V33="",0,IF(V33=F32,1,IF(V33=F33,0,IF(V33=F34,0,IF(V33=F35,0)))))</f>
        <v>0</v>
      </c>
      <c r="AA32" s="205">
        <f>Y32+Z32</f>
        <v>0</v>
      </c>
      <c r="AB32" s="205">
        <f>MAX(AA32:AA35)</f>
        <v>0</v>
      </c>
      <c r="AC32" s="205">
        <f>AA32/99</f>
        <v>0</v>
      </c>
    </row>
    <row r="33" spans="2:29" x14ac:dyDescent="0.2">
      <c r="B33" s="37" t="str">
        <f>INDEX(T,53,lang)</f>
        <v>Фаластин</v>
      </c>
      <c r="C33" s="136">
        <v>271</v>
      </c>
      <c r="D33" s="14"/>
      <c r="F33" s="208" t="str">
        <f>INDEX(T,43,lang)</f>
        <v>С.Арабистони</v>
      </c>
      <c r="G33" s="28"/>
      <c r="H33" s="28"/>
      <c r="I33" s="28"/>
      <c r="J33" s="28"/>
      <c r="K33" s="28">
        <f>S33</f>
        <v>0</v>
      </c>
      <c r="L33" s="159">
        <f>COUNTIF(T32:T35,CONCATENATE("&gt;=",T33))</f>
        <v>4</v>
      </c>
      <c r="M33" s="170" t="str">
        <f>INDEX(T,43,lang)</f>
        <v>С.Арабистони</v>
      </c>
      <c r="N33" s="205">
        <f t="shared" ref="N33:N35" si="9">T33+1000+AC33</f>
        <v>1000</v>
      </c>
      <c r="O33" s="206">
        <f t="shared" ref="O33:O35" si="10">G33*1</f>
        <v>0</v>
      </c>
      <c r="P33" s="206">
        <f t="shared" ref="P33:P35" si="11">H33*3</f>
        <v>0</v>
      </c>
      <c r="Q33" s="206">
        <f t="shared" ref="Q33:Q35" si="12">I33*3</f>
        <v>0</v>
      </c>
      <c r="R33" s="206">
        <f t="shared" ref="R33:R35" si="13">J33*4</f>
        <v>0</v>
      </c>
      <c r="S33" s="206">
        <f t="shared" ref="S33:S35" si="14">O33+P33+Q33+R33</f>
        <v>0</v>
      </c>
      <c r="T33" s="206">
        <f t="shared" ref="T33:T35" si="15">(S33*-1)+AC33</f>
        <v>0</v>
      </c>
      <c r="U33" s="173" t="str">
        <f>INDEX(T,111,lang)</f>
        <v>2-ўрин:</v>
      </c>
      <c r="V33" s="172"/>
      <c r="Y33" s="205">
        <f>IF(V32="",0,IF(V32=F32,0,IF(V32=F33,2,IF(V32=F34,0,IF(V32=F35,0)))))</f>
        <v>0</v>
      </c>
      <c r="Z33" s="205">
        <f>IF(V33="",0,IF(V33=F32,0,IF(V33=F33,1,IF(V33=F34,0,IF(V33=F35,0)))))</f>
        <v>0</v>
      </c>
      <c r="AA33" s="205">
        <f t="shared" ref="AA33:AA35" si="16">Y33+Z33</f>
        <v>0</v>
      </c>
      <c r="AB33" s="205"/>
      <c r="AC33" s="205">
        <f t="shared" ref="AC33:AC35" si="17">AA33/99</f>
        <v>0</v>
      </c>
    </row>
    <row r="34" spans="2:29" x14ac:dyDescent="0.2">
      <c r="B34" s="37" t="str">
        <f>INDEX(T,49,lang)</f>
        <v>Баҳрайн</v>
      </c>
      <c r="C34" s="136">
        <v>249</v>
      </c>
      <c r="D34" s="14"/>
      <c r="F34" s="208" t="str">
        <f>INDEX(T,44,lang)</f>
        <v>Хитой</v>
      </c>
      <c r="G34" s="28"/>
      <c r="H34" s="28"/>
      <c r="I34" s="28"/>
      <c r="J34" s="28"/>
      <c r="K34" s="28">
        <f>S34</f>
        <v>0</v>
      </c>
      <c r="L34" s="159">
        <f>COUNTIF(T32:T35,CONCATENATE("&gt;=",T34))</f>
        <v>4</v>
      </c>
      <c r="M34" s="170" t="str">
        <f>INDEX(T,44,lang)</f>
        <v>Хитой</v>
      </c>
      <c r="N34" s="205">
        <f t="shared" si="9"/>
        <v>1000</v>
      </c>
      <c r="O34" s="206">
        <f t="shared" si="10"/>
        <v>0</v>
      </c>
      <c r="P34" s="206">
        <f t="shared" si="11"/>
        <v>0</v>
      </c>
      <c r="Q34" s="206">
        <f t="shared" si="12"/>
        <v>0</v>
      </c>
      <c r="R34" s="206">
        <f t="shared" si="13"/>
        <v>0</v>
      </c>
      <c r="S34" s="206">
        <f t="shared" si="14"/>
        <v>0</v>
      </c>
      <c r="T34" s="206">
        <f t="shared" si="15"/>
        <v>0</v>
      </c>
      <c r="U34" s="38"/>
      <c r="Y34" s="205">
        <f>IF(V32="",0,IF(V32=F32,0,IF(V32=F33,0,IF(V32=F34,2,IF(V32=F35,0)))))</f>
        <v>0</v>
      </c>
      <c r="Z34" s="205">
        <f>IF(V33="",0,IF(V33=F32,0,IF(V33=F33,0,IF(V33=F34,1,IF(V33=F35,0)))))</f>
        <v>0</v>
      </c>
      <c r="AA34" s="205">
        <f t="shared" si="16"/>
        <v>0</v>
      </c>
      <c r="AB34" s="205"/>
      <c r="AC34" s="205">
        <f t="shared" si="17"/>
        <v>0</v>
      </c>
    </row>
    <row r="35" spans="2:29" x14ac:dyDescent="0.2">
      <c r="B35" s="37" t="str">
        <f>INDEX(T,41,lang)</f>
        <v>Кувайт</v>
      </c>
      <c r="C35" s="136">
        <v>246</v>
      </c>
      <c r="D35" s="14"/>
      <c r="F35" s="209" t="str">
        <f>INDEX(T,45,lang)</f>
        <v>Шимолий Корея</v>
      </c>
      <c r="G35" s="30"/>
      <c r="H35" s="30"/>
      <c r="I35" s="30"/>
      <c r="J35" s="30"/>
      <c r="K35" s="30">
        <f>S35</f>
        <v>0</v>
      </c>
      <c r="L35" s="160">
        <f>COUNTIF(T32:T35,CONCATENATE("&gt;=",T35))</f>
        <v>4</v>
      </c>
      <c r="M35" s="170" t="str">
        <f>INDEX(T,45,lang)</f>
        <v>Шимолий Корея</v>
      </c>
      <c r="N35" s="205">
        <f t="shared" si="9"/>
        <v>1000</v>
      </c>
      <c r="O35" s="206">
        <f t="shared" si="10"/>
        <v>0</v>
      </c>
      <c r="P35" s="206">
        <f t="shared" si="11"/>
        <v>0</v>
      </c>
      <c r="Q35" s="206">
        <f t="shared" si="12"/>
        <v>0</v>
      </c>
      <c r="R35" s="206">
        <f t="shared" si="13"/>
        <v>0</v>
      </c>
      <c r="S35" s="206">
        <f t="shared" si="14"/>
        <v>0</v>
      </c>
      <c r="T35" s="206">
        <f t="shared" si="15"/>
        <v>0</v>
      </c>
      <c r="U35" s="38"/>
      <c r="Y35" s="205">
        <f>IF(V32="",0,IF(V32=F32,0,IF(V32=F33,0,IF(V32=F34,0,IF(V32=F35,2)))))</f>
        <v>0</v>
      </c>
      <c r="Z35" s="205">
        <f>IF(V33="",0,IF(V33=F32,0,IF(V33=F33,0,IF(V33=F34,0,IF(V33=F35,1)))))</f>
        <v>0</v>
      </c>
      <c r="AA35" s="205">
        <f t="shared" si="16"/>
        <v>0</v>
      </c>
      <c r="AB35" s="205"/>
      <c r="AC35" s="205">
        <f t="shared" si="17"/>
        <v>0</v>
      </c>
    </row>
    <row r="36" spans="2:29" ht="13.5" thickBot="1" x14ac:dyDescent="0.25">
      <c r="B36" s="37" t="str">
        <f>INDEX(T,45,lang)</f>
        <v>Шимолий Корея</v>
      </c>
      <c r="C36" s="137">
        <v>156</v>
      </c>
      <c r="D36" s="14"/>
      <c r="L36" s="154"/>
      <c r="N36" s="205"/>
      <c r="O36" s="205"/>
      <c r="P36" s="205"/>
      <c r="Q36" s="205"/>
      <c r="R36" s="205"/>
      <c r="S36" s="205"/>
      <c r="T36" s="206"/>
      <c r="U36" s="38"/>
      <c r="Y36" s="205"/>
      <c r="Z36" s="205"/>
      <c r="AA36" s="205"/>
      <c r="AB36" s="205"/>
      <c r="AC36" s="205"/>
    </row>
    <row r="37" spans="2:29" x14ac:dyDescent="0.2">
      <c r="B37" s="16"/>
      <c r="C37" s="17"/>
      <c r="D37" s="18"/>
      <c r="F37" s="46" t="str">
        <f>INDEX(T,9,lang) &amp; " " &amp; "C"</f>
        <v>Гуруҳ C</v>
      </c>
      <c r="G37" s="47" t="str">
        <f>INDEX(T,91,lang)</f>
        <v>Сариқ карточка</v>
      </c>
      <c r="H37" s="47" t="str">
        <f>INDEX(T,92,lang)</f>
        <v>2-сариқ</v>
      </c>
      <c r="I37" s="47" t="str">
        <f>INDEX(T,93,lang)</f>
        <v>Қизил карточка</v>
      </c>
      <c r="J37" s="47" t="str">
        <f>INDEX(T,94,lang)</f>
        <v>Сариқ &gt; қизил</v>
      </c>
      <c r="K37" s="47" t="str">
        <f>INDEX(T,15,lang)</f>
        <v>Очколар</v>
      </c>
      <c r="L37" s="157" t="str">
        <f>INDEX(T,95,lang)</f>
        <v>Ўрин</v>
      </c>
      <c r="N37" s="205"/>
      <c r="O37" s="205"/>
      <c r="P37" s="205"/>
      <c r="Q37" s="205"/>
      <c r="R37" s="205"/>
      <c r="S37" s="205"/>
      <c r="T37" s="206"/>
      <c r="U37" s="38"/>
      <c r="Y37" s="205"/>
      <c r="Z37" s="205"/>
      <c r="AA37" s="205"/>
      <c r="AB37" s="205"/>
      <c r="AC37" s="205"/>
    </row>
    <row r="38" spans="2:29" x14ac:dyDescent="0.2">
      <c r="F38" s="207" t="str">
        <f>INDEX(T,46,lang)</f>
        <v>Эрон</v>
      </c>
      <c r="G38" s="26"/>
      <c r="H38" s="26"/>
      <c r="I38" s="26"/>
      <c r="J38" s="26"/>
      <c r="K38" s="26">
        <f>S38</f>
        <v>0</v>
      </c>
      <c r="L38" s="158">
        <f>COUNTIF(T38:T41,CONCATENATE("&gt;=",T38))</f>
        <v>4</v>
      </c>
      <c r="M38" s="170" t="str">
        <f>INDEX(T,46,lang)</f>
        <v>Эрон</v>
      </c>
      <c r="N38" s="205">
        <f>T38+1000+AC38</f>
        <v>1000</v>
      </c>
      <c r="O38" s="206">
        <f>G38*1</f>
        <v>0</v>
      </c>
      <c r="P38" s="206">
        <f>H38*3</f>
        <v>0</v>
      </c>
      <c r="Q38" s="206">
        <f>I38*3</f>
        <v>0</v>
      </c>
      <c r="R38" s="206">
        <f>J38*4</f>
        <v>0</v>
      </c>
      <c r="S38" s="206">
        <f>O38+P38+Q38+R38</f>
        <v>0</v>
      </c>
      <c r="T38" s="206">
        <f>(S38*-1)+AC38</f>
        <v>0</v>
      </c>
      <c r="U38" s="173" t="str">
        <f>INDEX(T,110,lang)</f>
        <v>1-ўрин:</v>
      </c>
      <c r="V38" s="172"/>
      <c r="Y38" s="205">
        <f>IF(V38="",0,IF(V38=F38,2,IF(V38=F39,0,IF(V38=F40,0,IF(V38=F41,0)))))</f>
        <v>0</v>
      </c>
      <c r="Z38" s="205">
        <f>IF(V39="",0,IF(V39=F38,1,IF(V39=F39,0,IF(V39=F40,0,IF(V39=F41,0)))))</f>
        <v>0</v>
      </c>
      <c r="AA38" s="205">
        <f>Y38+Z38</f>
        <v>0</v>
      </c>
      <c r="AB38" s="205">
        <f>MAX(AA38:AA41)</f>
        <v>0</v>
      </c>
      <c r="AC38" s="205">
        <f>AA38/99</f>
        <v>0</v>
      </c>
    </row>
    <row r="39" spans="2:29" x14ac:dyDescent="0.2">
      <c r="B39" s="40" t="s">
        <v>81</v>
      </c>
      <c r="C39" s="40">
        <f>IF(ISERROR(MATCH(C7,lang_list,0)),1,MATCH(C7,lang_list,0))</f>
        <v>3</v>
      </c>
      <c r="F39" s="208" t="str">
        <f>INDEX(T,47,lang)</f>
        <v>БАА</v>
      </c>
      <c r="G39" s="28"/>
      <c r="H39" s="28"/>
      <c r="I39" s="28"/>
      <c r="J39" s="28"/>
      <c r="K39" s="28">
        <f>S39</f>
        <v>0</v>
      </c>
      <c r="L39" s="159">
        <f>COUNTIF(T38:T41,CONCATENATE("&gt;=",T39))</f>
        <v>4</v>
      </c>
      <c r="M39" s="170" t="str">
        <f>INDEX(T,47,lang)</f>
        <v>БАА</v>
      </c>
      <c r="N39" s="205">
        <f t="shared" ref="N39:N41" si="18">T39+1000+AC39</f>
        <v>1000</v>
      </c>
      <c r="O39" s="206">
        <f t="shared" ref="O39:O41" si="19">G39*1</f>
        <v>0</v>
      </c>
      <c r="P39" s="206">
        <f t="shared" ref="P39:P41" si="20">H39*3</f>
        <v>0</v>
      </c>
      <c r="Q39" s="206">
        <f t="shared" ref="Q39:Q41" si="21">I39*3</f>
        <v>0</v>
      </c>
      <c r="R39" s="206">
        <f t="shared" ref="R39:R41" si="22">J39*4</f>
        <v>0</v>
      </c>
      <c r="S39" s="206">
        <f t="shared" ref="S39:S41" si="23">O39+P39+Q39+R39</f>
        <v>0</v>
      </c>
      <c r="T39" s="206">
        <f t="shared" ref="T39:T41" si="24">(S39*-1)+AC39</f>
        <v>0</v>
      </c>
      <c r="U39" s="173" t="str">
        <f>INDEX(T,111,lang)</f>
        <v>2-ўрин:</v>
      </c>
      <c r="V39" s="172"/>
      <c r="Y39" s="205">
        <f>IF(V38="",0,IF(V38=F38,0,IF(V38=F39,2,IF(V38=F40,0,IF(V38=F41,0)))))</f>
        <v>0</v>
      </c>
      <c r="Z39" s="205">
        <f>IF(V39="",0,IF(V39=F38,0,IF(V39=F39,1,IF(V39=F40,0,IF(V39=F41,0)))))</f>
        <v>0</v>
      </c>
      <c r="AA39" s="205">
        <f t="shared" ref="AA39:AA41" si="25">Y39+Z39</f>
        <v>0</v>
      </c>
      <c r="AB39" s="205"/>
      <c r="AC39" s="205">
        <f t="shared" ref="AC39:AC41" si="26">AA39/99</f>
        <v>0</v>
      </c>
    </row>
    <row r="40" spans="2:29" x14ac:dyDescent="0.2">
      <c r="B40" s="40" t="s">
        <v>82</v>
      </c>
      <c r="C40" s="42">
        <f>TIME(VLOOKUP(C13,B42:C65,2,FALSE),VLOOKUP(C16,B67:C70,2,FALSE),0)+IF(C10="Yes",TIME(1,0,0),0)</f>
        <v>0.66666666666666663</v>
      </c>
      <c r="F40" s="208" t="str">
        <f>INDEX(T,48,lang)</f>
        <v>Қатар</v>
      </c>
      <c r="G40" s="28"/>
      <c r="H40" s="28"/>
      <c r="I40" s="28"/>
      <c r="J40" s="28"/>
      <c r="K40" s="28">
        <f>S40</f>
        <v>0</v>
      </c>
      <c r="L40" s="159">
        <f>COUNTIF(T38:T41,CONCATENATE("&gt;=",T40))</f>
        <v>4</v>
      </c>
      <c r="M40" s="170" t="str">
        <f>INDEX(T,48,lang)</f>
        <v>Қатар</v>
      </c>
      <c r="N40" s="205">
        <f t="shared" si="18"/>
        <v>1000</v>
      </c>
      <c r="O40" s="206">
        <f t="shared" si="19"/>
        <v>0</v>
      </c>
      <c r="P40" s="206">
        <f t="shared" si="20"/>
        <v>0</v>
      </c>
      <c r="Q40" s="206">
        <f t="shared" si="21"/>
        <v>0</v>
      </c>
      <c r="R40" s="206">
        <f t="shared" si="22"/>
        <v>0</v>
      </c>
      <c r="S40" s="206">
        <f t="shared" si="23"/>
        <v>0</v>
      </c>
      <c r="T40" s="206">
        <f t="shared" si="24"/>
        <v>0</v>
      </c>
      <c r="U40" s="38"/>
      <c r="Y40" s="205">
        <f>IF(V38="",0,IF(V38=F38,0,IF(V38=F39,0,IF(V38=F40,2,IF(V38=F41,0)))))</f>
        <v>0</v>
      </c>
      <c r="Z40" s="205">
        <f>IF(V39="",0,IF(V39=F38,0,IF(V39=F39,0,IF(V39=F40,1,IF(V39=F41,0)))))</f>
        <v>0</v>
      </c>
      <c r="AA40" s="205">
        <f t="shared" si="25"/>
        <v>0</v>
      </c>
      <c r="AB40" s="205"/>
      <c r="AC40" s="205">
        <f t="shared" si="26"/>
        <v>0</v>
      </c>
    </row>
    <row r="41" spans="2:29" x14ac:dyDescent="0.2">
      <c r="B41" s="40"/>
      <c r="C41" s="40"/>
      <c r="F41" s="209" t="str">
        <f>INDEX(T,49,lang)</f>
        <v>Баҳрайн</v>
      </c>
      <c r="G41" s="30"/>
      <c r="H41" s="30"/>
      <c r="I41" s="30"/>
      <c r="J41" s="30"/>
      <c r="K41" s="30">
        <f>S41</f>
        <v>0</v>
      </c>
      <c r="L41" s="160">
        <f>COUNTIF(T38:T41,CONCATENATE("&gt;=",T41))</f>
        <v>4</v>
      </c>
      <c r="M41" s="170" t="str">
        <f>INDEX(T,49,lang)</f>
        <v>Баҳрайн</v>
      </c>
      <c r="N41" s="205">
        <f t="shared" si="18"/>
        <v>1000</v>
      </c>
      <c r="O41" s="206">
        <f t="shared" si="19"/>
        <v>0</v>
      </c>
      <c r="P41" s="206">
        <f t="shared" si="20"/>
        <v>0</v>
      </c>
      <c r="Q41" s="206">
        <f t="shared" si="21"/>
        <v>0</v>
      </c>
      <c r="R41" s="206">
        <f t="shared" si="22"/>
        <v>0</v>
      </c>
      <c r="S41" s="206">
        <f t="shared" si="23"/>
        <v>0</v>
      </c>
      <c r="T41" s="206">
        <f t="shared" si="24"/>
        <v>0</v>
      </c>
      <c r="U41" s="38"/>
      <c r="Y41" s="205">
        <f>IF(V38="",0,IF(V38=F38,0,IF(V38=F39,0,IF(V38=F40,0,IF(V38=F41,2)))))</f>
        <v>0</v>
      </c>
      <c r="Z41" s="205">
        <f>IF(V39="",0,IF(V39=F38,0,IF(V39=F39,0,IF(V39=F40,0,IF(V39=F41,1)))))</f>
        <v>0</v>
      </c>
      <c r="AA41" s="205">
        <f t="shared" si="25"/>
        <v>0</v>
      </c>
      <c r="AB41" s="205"/>
      <c r="AC41" s="205">
        <f t="shared" si="26"/>
        <v>0</v>
      </c>
    </row>
    <row r="42" spans="2:29" x14ac:dyDescent="0.2">
      <c r="B42" s="40" t="s">
        <v>56</v>
      </c>
      <c r="C42" s="40">
        <v>0</v>
      </c>
      <c r="L42" s="41"/>
      <c r="N42" s="205"/>
      <c r="O42" s="205"/>
      <c r="P42" s="205"/>
      <c r="Q42" s="205"/>
      <c r="R42" s="205"/>
      <c r="S42" s="205"/>
      <c r="T42" s="206"/>
      <c r="U42" s="38"/>
      <c r="Y42" s="205"/>
      <c r="Z42" s="205"/>
      <c r="AA42" s="205"/>
      <c r="AB42" s="205"/>
      <c r="AC42" s="205"/>
    </row>
    <row r="43" spans="2:29" x14ac:dyDescent="0.2">
      <c r="B43" s="40" t="s">
        <v>57</v>
      </c>
      <c r="C43" s="40">
        <v>1</v>
      </c>
      <c r="F43" s="46" t="str">
        <f>INDEX(T,9,lang) &amp; " " &amp; "D"</f>
        <v>Гуруҳ D</v>
      </c>
      <c r="G43" s="47" t="str">
        <f>INDEX(T,91,lang)</f>
        <v>Сариқ карточка</v>
      </c>
      <c r="H43" s="47" t="str">
        <f>INDEX(T,92,lang)</f>
        <v>2-сариқ</v>
      </c>
      <c r="I43" s="47" t="str">
        <f>INDEX(T,93,lang)</f>
        <v>Қизил карточка</v>
      </c>
      <c r="J43" s="47" t="str">
        <f>INDEX(T,94,lang)</f>
        <v>Сариқ &gt; қизил</v>
      </c>
      <c r="K43" s="47" t="str">
        <f>INDEX(T,15,lang)</f>
        <v>Очколар</v>
      </c>
      <c r="L43" s="157" t="str">
        <f>INDEX(T,95,lang)</f>
        <v>Ўрин</v>
      </c>
      <c r="N43" s="205"/>
      <c r="O43" s="205"/>
      <c r="P43" s="205"/>
      <c r="Q43" s="205"/>
      <c r="R43" s="205"/>
      <c r="S43" s="205"/>
      <c r="T43" s="206"/>
      <c r="U43" s="38"/>
      <c r="Y43" s="205"/>
      <c r="Z43" s="205"/>
      <c r="AA43" s="205"/>
      <c r="AB43" s="205"/>
      <c r="AC43" s="205"/>
    </row>
    <row r="44" spans="2:29" x14ac:dyDescent="0.2">
      <c r="B44" s="40" t="s">
        <v>58</v>
      </c>
      <c r="C44" s="40">
        <v>2</v>
      </c>
      <c r="F44" s="207" t="str">
        <f>INDEX(T,50,lang)</f>
        <v>Япония</v>
      </c>
      <c r="G44" s="26"/>
      <c r="H44" s="26"/>
      <c r="I44" s="26"/>
      <c r="J44" s="26"/>
      <c r="K44" s="26">
        <f>S44</f>
        <v>0</v>
      </c>
      <c r="L44" s="158">
        <f>COUNTIF(T44:T47,CONCATENATE("&gt;=",T44))</f>
        <v>4</v>
      </c>
      <c r="M44" s="170" t="str">
        <f>INDEX(T,50,lang)</f>
        <v>Япония</v>
      </c>
      <c r="N44" s="205">
        <f>T44+1000+AC44</f>
        <v>1000</v>
      </c>
      <c r="O44" s="206">
        <f>G44*1</f>
        <v>0</v>
      </c>
      <c r="P44" s="206">
        <f>H44*3</f>
        <v>0</v>
      </c>
      <c r="Q44" s="206">
        <f>I44*3</f>
        <v>0</v>
      </c>
      <c r="R44" s="206">
        <f>J44*4</f>
        <v>0</v>
      </c>
      <c r="S44" s="206">
        <f>O44+P44+Q44+R44</f>
        <v>0</v>
      </c>
      <c r="T44" s="206">
        <f>(S44*-1)+AC44</f>
        <v>0</v>
      </c>
      <c r="U44" s="173" t="str">
        <f>INDEX(T,110,lang)</f>
        <v>1-ўрин:</v>
      </c>
      <c r="V44" s="172"/>
      <c r="Y44" s="205">
        <f>IF(V44="",0,IF(V44=F44,2,IF(V44=F45,0,IF(V44=F46,0,IF(V44=F47,0)))))</f>
        <v>0</v>
      </c>
      <c r="Z44" s="205">
        <f>IF(V45="",0,IF(V45=F44,1,IF(V45=F45,0,IF(V45=F46,0,IF(V45=F47,0)))))</f>
        <v>0</v>
      </c>
      <c r="AA44" s="205">
        <f>Y44+Z44</f>
        <v>0</v>
      </c>
      <c r="AB44" s="205">
        <f>MAX(AA44:AA47)</f>
        <v>0</v>
      </c>
      <c r="AC44" s="205">
        <f>AA44/99</f>
        <v>0</v>
      </c>
    </row>
    <row r="45" spans="2:29" x14ac:dyDescent="0.2">
      <c r="B45" s="40" t="s">
        <v>59</v>
      </c>
      <c r="C45" s="40">
        <v>3</v>
      </c>
      <c r="F45" s="208" t="str">
        <f>INDEX(T,51,lang)</f>
        <v>Иордания</v>
      </c>
      <c r="G45" s="28"/>
      <c r="H45" s="28"/>
      <c r="I45" s="28"/>
      <c r="J45" s="28"/>
      <c r="K45" s="28">
        <f>S45</f>
        <v>0</v>
      </c>
      <c r="L45" s="159">
        <f>COUNTIF(T44:T47,CONCATENATE("&gt;=",T45))</f>
        <v>4</v>
      </c>
      <c r="M45" s="170" t="str">
        <f>INDEX(T,51,lang)</f>
        <v>Иордания</v>
      </c>
      <c r="N45" s="205">
        <f t="shared" ref="N45:N47" si="27">T45+1000+AC45</f>
        <v>1000</v>
      </c>
      <c r="O45" s="206">
        <f t="shared" ref="O45:O47" si="28">G45*1</f>
        <v>0</v>
      </c>
      <c r="P45" s="206">
        <f t="shared" ref="P45:P47" si="29">H45*3</f>
        <v>0</v>
      </c>
      <c r="Q45" s="206">
        <f t="shared" ref="Q45:Q47" si="30">I45*3</f>
        <v>0</v>
      </c>
      <c r="R45" s="206">
        <f t="shared" ref="R45:R47" si="31">J45*4</f>
        <v>0</v>
      </c>
      <c r="S45" s="206">
        <f t="shared" ref="S45:S47" si="32">O45+P45+Q45+R45</f>
        <v>0</v>
      </c>
      <c r="T45" s="206">
        <f t="shared" ref="T45:T47" si="33">(S45*-1)+AC45</f>
        <v>0</v>
      </c>
      <c r="U45" s="173" t="str">
        <f>INDEX(T,111,lang)</f>
        <v>2-ўрин:</v>
      </c>
      <c r="V45" s="172"/>
      <c r="Y45" s="205">
        <f>IF(V44="",0,IF(V44=F44,0,IF(V44=F45,2,IF(V44=F46,0,IF(V44=F47,0)))))</f>
        <v>0</v>
      </c>
      <c r="Z45" s="205">
        <f>IF(V45="",0,IF(V45=F44,0,IF(V45=F45,1,IF(V45=F46,0,IF(V45=F47,0)))))</f>
        <v>0</v>
      </c>
      <c r="AA45" s="205">
        <f t="shared" ref="AA45:AA47" si="34">Y45+Z45</f>
        <v>0</v>
      </c>
      <c r="AB45" s="205"/>
      <c r="AC45" s="205">
        <f t="shared" ref="AC45:AC47" si="35">AA45/99</f>
        <v>0</v>
      </c>
    </row>
    <row r="46" spans="2:29" x14ac:dyDescent="0.2">
      <c r="B46" s="40" t="s">
        <v>60</v>
      </c>
      <c r="C46" s="40">
        <v>4</v>
      </c>
      <c r="F46" s="208" t="str">
        <f>INDEX(T,52,lang)</f>
        <v>Ироқ</v>
      </c>
      <c r="G46" s="28"/>
      <c r="H46" s="28"/>
      <c r="I46" s="28"/>
      <c r="J46" s="28"/>
      <c r="K46" s="28">
        <f>S46</f>
        <v>0</v>
      </c>
      <c r="L46" s="159">
        <f>COUNTIF(T44:T47,CONCATENATE("&gt;=",T46))</f>
        <v>4</v>
      </c>
      <c r="M46" s="170" t="str">
        <f>INDEX(T,52,lang)</f>
        <v>Ироқ</v>
      </c>
      <c r="N46" s="205">
        <f t="shared" si="27"/>
        <v>1000</v>
      </c>
      <c r="O46" s="206">
        <f t="shared" si="28"/>
        <v>0</v>
      </c>
      <c r="P46" s="206">
        <f t="shared" si="29"/>
        <v>0</v>
      </c>
      <c r="Q46" s="206">
        <f t="shared" si="30"/>
        <v>0</v>
      </c>
      <c r="R46" s="206">
        <f t="shared" si="31"/>
        <v>0</v>
      </c>
      <c r="S46" s="206">
        <f t="shared" si="32"/>
        <v>0</v>
      </c>
      <c r="T46" s="206">
        <f t="shared" si="33"/>
        <v>0</v>
      </c>
      <c r="U46" s="38"/>
      <c r="Y46" s="205">
        <f>IF(V44="",0,IF(V44=F44,0,IF(V44=F45,0,IF(V44=F46,2,IF(V44=F47,0)))))</f>
        <v>0</v>
      </c>
      <c r="Z46" s="205">
        <f>IF(V45="",0,IF(V45=F44,0,IF(V45=F45,0,IF(V45=F46,1,IF(V45=F47,0)))))</f>
        <v>0</v>
      </c>
      <c r="AA46" s="205">
        <f t="shared" si="34"/>
        <v>0</v>
      </c>
      <c r="AB46" s="205"/>
      <c r="AC46" s="205">
        <f t="shared" si="35"/>
        <v>0</v>
      </c>
    </row>
    <row r="47" spans="2:29" x14ac:dyDescent="0.2">
      <c r="B47" s="40" t="s">
        <v>61</v>
      </c>
      <c r="C47" s="40">
        <v>5</v>
      </c>
      <c r="F47" s="209" t="str">
        <f>INDEX(T,53,lang)</f>
        <v>Фаластин</v>
      </c>
      <c r="G47" s="30"/>
      <c r="H47" s="30"/>
      <c r="I47" s="30"/>
      <c r="J47" s="30"/>
      <c r="K47" s="30">
        <f>S47</f>
        <v>0</v>
      </c>
      <c r="L47" s="160">
        <f>COUNTIF(T44:T47,CONCATENATE("&gt;=",T47))</f>
        <v>4</v>
      </c>
      <c r="M47" s="170" t="str">
        <f>INDEX(T,53,lang)</f>
        <v>Фаластин</v>
      </c>
      <c r="N47" s="205">
        <f t="shared" si="27"/>
        <v>1000</v>
      </c>
      <c r="O47" s="206">
        <f t="shared" si="28"/>
        <v>0</v>
      </c>
      <c r="P47" s="206">
        <f t="shared" si="29"/>
        <v>0</v>
      </c>
      <c r="Q47" s="206">
        <f t="shared" si="30"/>
        <v>0</v>
      </c>
      <c r="R47" s="206">
        <f t="shared" si="31"/>
        <v>0</v>
      </c>
      <c r="S47" s="206">
        <f t="shared" si="32"/>
        <v>0</v>
      </c>
      <c r="T47" s="206">
        <f t="shared" si="33"/>
        <v>0</v>
      </c>
      <c r="U47" s="38"/>
      <c r="Y47" s="205">
        <f>IF(V44="",0,IF(V44=F44,0,IF(V44=F45,0,IF(V44=F46,0,IF(V44=F47,2)))))</f>
        <v>0</v>
      </c>
      <c r="Z47" s="205">
        <f>IF(V45="",0,IF(V45=F44,0,IF(V45=F45,0,IF(V45=F46,0,IF(V45=F47,1)))))</f>
        <v>0</v>
      </c>
      <c r="AA47" s="205">
        <f t="shared" si="34"/>
        <v>0</v>
      </c>
      <c r="AB47" s="205"/>
      <c r="AC47" s="205">
        <f t="shared" si="35"/>
        <v>0</v>
      </c>
    </row>
    <row r="48" spans="2:29" x14ac:dyDescent="0.2">
      <c r="B48" s="40" t="s">
        <v>62</v>
      </c>
      <c r="C48" s="40">
        <v>6</v>
      </c>
      <c r="L48" s="41"/>
    </row>
    <row r="49" spans="2:12" x14ac:dyDescent="0.2">
      <c r="B49" s="40" t="s">
        <v>63</v>
      </c>
      <c r="C49" s="40">
        <v>7</v>
      </c>
      <c r="L49" s="41"/>
    </row>
    <row r="50" spans="2:12" x14ac:dyDescent="0.2">
      <c r="B50" s="40" t="s">
        <v>64</v>
      </c>
      <c r="C50" s="40">
        <v>8</v>
      </c>
      <c r="L50" s="41"/>
    </row>
    <row r="51" spans="2:12" x14ac:dyDescent="0.2">
      <c r="B51" s="40" t="s">
        <v>65</v>
      </c>
      <c r="C51" s="40">
        <v>9</v>
      </c>
      <c r="L51" s="41"/>
    </row>
    <row r="52" spans="2:12" x14ac:dyDescent="0.2">
      <c r="B52" s="40" t="s">
        <v>66</v>
      </c>
      <c r="C52" s="40">
        <v>10</v>
      </c>
      <c r="L52" s="41"/>
    </row>
    <row r="53" spans="2:12" x14ac:dyDescent="0.2">
      <c r="B53" s="40" t="s">
        <v>44</v>
      </c>
      <c r="C53" s="40">
        <v>11</v>
      </c>
      <c r="L53" s="41"/>
    </row>
    <row r="54" spans="2:12" x14ac:dyDescent="0.2">
      <c r="B54" s="40" t="s">
        <v>54</v>
      </c>
      <c r="C54" s="40">
        <v>12</v>
      </c>
      <c r="L54" s="41"/>
    </row>
    <row r="55" spans="2:12" x14ac:dyDescent="0.2">
      <c r="B55" s="40" t="s">
        <v>67</v>
      </c>
      <c r="C55" s="40">
        <v>13</v>
      </c>
      <c r="L55" s="41"/>
    </row>
    <row r="56" spans="2:12" x14ac:dyDescent="0.2">
      <c r="B56" s="40" t="s">
        <v>68</v>
      </c>
      <c r="C56" s="40">
        <v>14</v>
      </c>
      <c r="G56" s="41"/>
      <c r="H56" s="41"/>
      <c r="I56" s="41"/>
      <c r="J56" s="41"/>
      <c r="K56" s="41"/>
      <c r="L56" s="41"/>
    </row>
    <row r="57" spans="2:12" x14ac:dyDescent="0.2">
      <c r="B57" s="40" t="s">
        <v>69</v>
      </c>
      <c r="C57" s="40">
        <v>15</v>
      </c>
    </row>
    <row r="58" spans="2:12" x14ac:dyDescent="0.2">
      <c r="B58" s="40" t="s">
        <v>70</v>
      </c>
      <c r="C58" s="40">
        <v>16</v>
      </c>
    </row>
    <row r="59" spans="2:12" x14ac:dyDescent="0.2">
      <c r="B59" s="40" t="s">
        <v>71</v>
      </c>
      <c r="C59" s="40">
        <v>17</v>
      </c>
    </row>
    <row r="60" spans="2:12" x14ac:dyDescent="0.2">
      <c r="B60" s="40" t="s">
        <v>72</v>
      </c>
      <c r="C60" s="40">
        <v>18</v>
      </c>
    </row>
    <row r="61" spans="2:12" x14ac:dyDescent="0.2">
      <c r="B61" s="40" t="s">
        <v>73</v>
      </c>
      <c r="C61" s="40">
        <v>19</v>
      </c>
    </row>
    <row r="62" spans="2:12" x14ac:dyDescent="0.2">
      <c r="B62" s="40" t="s">
        <v>74</v>
      </c>
      <c r="C62" s="40">
        <v>20</v>
      </c>
    </row>
    <row r="63" spans="2:12" x14ac:dyDescent="0.2">
      <c r="B63" s="40" t="s">
        <v>75</v>
      </c>
      <c r="C63" s="40">
        <v>21</v>
      </c>
    </row>
    <row r="64" spans="2:12" x14ac:dyDescent="0.2">
      <c r="B64" s="40" t="s">
        <v>76</v>
      </c>
      <c r="C64" s="40">
        <v>22</v>
      </c>
    </row>
    <row r="65" spans="2:3" x14ac:dyDescent="0.2">
      <c r="B65" s="40" t="s">
        <v>77</v>
      </c>
      <c r="C65" s="40">
        <v>23</v>
      </c>
    </row>
    <row r="66" spans="2:3" x14ac:dyDescent="0.2">
      <c r="B66" s="40"/>
      <c r="C66" s="40"/>
    </row>
    <row r="67" spans="2:3" x14ac:dyDescent="0.2">
      <c r="B67" s="43" t="s">
        <v>55</v>
      </c>
      <c r="C67" s="40">
        <v>0</v>
      </c>
    </row>
    <row r="68" spans="2:3" x14ac:dyDescent="0.2">
      <c r="B68" s="43" t="s">
        <v>78</v>
      </c>
      <c r="C68" s="40">
        <v>15</v>
      </c>
    </row>
    <row r="69" spans="2:3" x14ac:dyDescent="0.2">
      <c r="B69" s="43" t="s">
        <v>79</v>
      </c>
      <c r="C69" s="40">
        <v>30</v>
      </c>
    </row>
    <row r="70" spans="2:3" x14ac:dyDescent="0.2">
      <c r="B70" s="43" t="s">
        <v>80</v>
      </c>
      <c r="C70" s="40">
        <v>45</v>
      </c>
    </row>
    <row r="71" spans="2:3" x14ac:dyDescent="0.2">
      <c r="B71" s="43"/>
      <c r="C71" s="40"/>
    </row>
    <row r="72" spans="2:3" x14ac:dyDescent="0.2">
      <c r="B72" s="41" t="s">
        <v>111</v>
      </c>
      <c r="C72" s="42">
        <f>IF(G6="Type 2",0,1)</f>
        <v>1</v>
      </c>
    </row>
  </sheetData>
  <sheetProtection password="8516" sheet="1" objects="1" scenarios="1"/>
  <protectedRanges>
    <protectedRange sqref="V44:V45" name="Диапазон8"/>
    <protectedRange sqref="V32:V33" name="Диапазон6"/>
    <protectedRange sqref="G44:J47" name="Диапазон4"/>
    <protectedRange sqref="G32:J35" name="Диапазон2"/>
    <protectedRange sqref="G26:J29" name="Диапазон1"/>
    <protectedRange sqref="G38:J41" name="Диапазон3"/>
    <protectedRange sqref="V26:V27" name="Диапазон5"/>
    <protectedRange sqref="V38:V39" name="Диапазон7"/>
  </protectedRanges>
  <mergeCells count="13">
    <mergeCell ref="R2:S2"/>
    <mergeCell ref="B2:K2"/>
    <mergeCell ref="A1:L1"/>
    <mergeCell ref="A3:L3"/>
    <mergeCell ref="U25:V25"/>
    <mergeCell ref="G15:K15"/>
    <mergeCell ref="G16:K16"/>
    <mergeCell ref="G7:K7"/>
    <mergeCell ref="G11:K11"/>
    <mergeCell ref="G10:K10"/>
    <mergeCell ref="G9:K9"/>
    <mergeCell ref="G8:K8"/>
    <mergeCell ref="G12:K14"/>
  </mergeCells>
  <phoneticPr fontId="2" type="noConversion"/>
  <conditionalFormatting sqref="G26:J26">
    <cfRule type="expression" dxfId="92" priority="177" stopIfTrue="1">
      <formula>IF(SUM(#REF!)=12,1,0)</formula>
    </cfRule>
  </conditionalFormatting>
  <conditionalFormatting sqref="G27:J27">
    <cfRule type="expression" dxfId="91" priority="178" stopIfTrue="1">
      <formula>IF(SUM(#REF!)=12,1,0)</formula>
    </cfRule>
  </conditionalFormatting>
  <conditionalFormatting sqref="G29:J29">
    <cfRule type="expression" dxfId="90" priority="179" stopIfTrue="1">
      <formula>IF(SUM(#REF!)=12,1,0)</formula>
    </cfRule>
  </conditionalFormatting>
  <conditionalFormatting sqref="G28:J28">
    <cfRule type="expression" dxfId="89" priority="180" stopIfTrue="1">
      <formula>IF(SUM(#REF!)=12,1,0)</formula>
    </cfRule>
  </conditionalFormatting>
  <conditionalFormatting sqref="G32:J32">
    <cfRule type="expression" dxfId="88" priority="32" stopIfTrue="1">
      <formula>IF(SUM($N32:$N35)=12,1,0)</formula>
    </cfRule>
  </conditionalFormatting>
  <conditionalFormatting sqref="G33:J33">
    <cfRule type="expression" dxfId="87" priority="33" stopIfTrue="1">
      <formula>IF(SUM($N32:$N35)=12,1,0)</formula>
    </cfRule>
  </conditionalFormatting>
  <conditionalFormatting sqref="G35:J35">
    <cfRule type="expression" dxfId="86" priority="34" stopIfTrue="1">
      <formula>IF(SUM($N32:$N35)=12,1,0)</formula>
    </cfRule>
  </conditionalFormatting>
  <conditionalFormatting sqref="G34:J34">
    <cfRule type="expression" dxfId="85" priority="35" stopIfTrue="1">
      <formula>IF(SUM($N32:$N35)=12,1,0)</formula>
    </cfRule>
  </conditionalFormatting>
  <conditionalFormatting sqref="K32">
    <cfRule type="expression" dxfId="84" priority="28" stopIfTrue="1">
      <formula>IF(SUM(#REF!)=12,1,0)</formula>
    </cfRule>
  </conditionalFormatting>
  <conditionalFormatting sqref="K33">
    <cfRule type="expression" dxfId="83" priority="29" stopIfTrue="1">
      <formula>IF(SUM(#REF!)=12,1,0)</formula>
    </cfRule>
  </conditionalFormatting>
  <conditionalFormatting sqref="K35">
    <cfRule type="expression" dxfId="82" priority="30" stopIfTrue="1">
      <formula>IF(SUM(#REF!)=12,1,0)</formula>
    </cfRule>
  </conditionalFormatting>
  <conditionalFormatting sqref="K34">
    <cfRule type="expression" dxfId="81" priority="31" stopIfTrue="1">
      <formula>IF(SUM(#REF!)=12,1,0)</formula>
    </cfRule>
  </conditionalFormatting>
  <conditionalFormatting sqref="G38:J38">
    <cfRule type="expression" dxfId="80" priority="24" stopIfTrue="1">
      <formula>IF(SUM($N38:$N41)=12,1,0)</formula>
    </cfRule>
  </conditionalFormatting>
  <conditionalFormatting sqref="G39:J39">
    <cfRule type="expression" dxfId="79" priority="25" stopIfTrue="1">
      <formula>IF(SUM($N38:$N41)=12,1,0)</formula>
    </cfRule>
  </conditionalFormatting>
  <conditionalFormatting sqref="G41:J41">
    <cfRule type="expression" dxfId="78" priority="26" stopIfTrue="1">
      <formula>IF(SUM($N38:$N41)=12,1,0)</formula>
    </cfRule>
  </conditionalFormatting>
  <conditionalFormatting sqref="G40:J40">
    <cfRule type="expression" dxfId="77" priority="27" stopIfTrue="1">
      <formula>IF(SUM($N38:$N41)=12,1,0)</formula>
    </cfRule>
  </conditionalFormatting>
  <conditionalFormatting sqref="K38">
    <cfRule type="expression" dxfId="76" priority="20" stopIfTrue="1">
      <formula>IF(SUM(#REF!)=12,1,0)</formula>
    </cfRule>
  </conditionalFormatting>
  <conditionalFormatting sqref="K39">
    <cfRule type="expression" dxfId="75" priority="21" stopIfTrue="1">
      <formula>IF(SUM(#REF!)=12,1,0)</formula>
    </cfRule>
  </conditionalFormatting>
  <conditionalFormatting sqref="K41">
    <cfRule type="expression" dxfId="74" priority="22" stopIfTrue="1">
      <formula>IF(SUM(#REF!)=12,1,0)</formula>
    </cfRule>
  </conditionalFormatting>
  <conditionalFormatting sqref="K40">
    <cfRule type="expression" dxfId="73" priority="23" stopIfTrue="1">
      <formula>IF(SUM(#REF!)=12,1,0)</formula>
    </cfRule>
  </conditionalFormatting>
  <conditionalFormatting sqref="G44:J44">
    <cfRule type="expression" dxfId="72" priority="16" stopIfTrue="1">
      <formula>IF(SUM($N44:$N47)=12,1,0)</formula>
    </cfRule>
  </conditionalFormatting>
  <conditionalFormatting sqref="G45:J45">
    <cfRule type="expression" dxfId="71" priority="17" stopIfTrue="1">
      <formula>IF(SUM($N44:$N47)=12,1,0)</formula>
    </cfRule>
  </conditionalFormatting>
  <conditionalFormatting sqref="G47:J47">
    <cfRule type="expression" dxfId="70" priority="18" stopIfTrue="1">
      <formula>IF(SUM($N44:$N47)=12,1,0)</formula>
    </cfRule>
  </conditionalFormatting>
  <conditionalFormatting sqref="G46:J46">
    <cfRule type="expression" dxfId="69" priority="19" stopIfTrue="1">
      <formula>IF(SUM($N44:$N47)=12,1,0)</formula>
    </cfRule>
  </conditionalFormatting>
  <conditionalFormatting sqref="K44">
    <cfRule type="expression" dxfId="68" priority="12" stopIfTrue="1">
      <formula>IF(SUM(#REF!)=12,1,0)</formula>
    </cfRule>
  </conditionalFormatting>
  <conditionalFormatting sqref="K45">
    <cfRule type="expression" dxfId="67" priority="13" stopIfTrue="1">
      <formula>IF(SUM(#REF!)=12,1,0)</formula>
    </cfRule>
  </conditionalFormatting>
  <conditionalFormatting sqref="K47">
    <cfRule type="expression" dxfId="66" priority="14" stopIfTrue="1">
      <formula>IF(SUM(#REF!)=12,1,0)</formula>
    </cfRule>
  </conditionalFormatting>
  <conditionalFormatting sqref="K46">
    <cfRule type="expression" dxfId="65" priority="15" stopIfTrue="1">
      <formula>IF(SUM(#REF!)=12,1,0)</formula>
    </cfRule>
  </conditionalFormatting>
  <conditionalFormatting sqref="V26:V27">
    <cfRule type="expression" dxfId="64" priority="8">
      <formula>$AB$26=3</formula>
    </cfRule>
  </conditionalFormatting>
  <conditionalFormatting sqref="V32:V33">
    <cfRule type="expression" dxfId="63" priority="7">
      <formula>$AB$32=3</formula>
    </cfRule>
  </conditionalFormatting>
  <conditionalFormatting sqref="V38:V39">
    <cfRule type="expression" dxfId="62" priority="6">
      <formula>$AB$38=3</formula>
    </cfRule>
  </conditionalFormatting>
  <conditionalFormatting sqref="V44:V45">
    <cfRule type="expression" dxfId="61" priority="5">
      <formula>$AB$44=3</formula>
    </cfRule>
  </conditionalFormatting>
  <conditionalFormatting sqref="K26">
    <cfRule type="expression" dxfId="60" priority="1" stopIfTrue="1">
      <formula>IF(SUM(#REF!)=12,1,0)</formula>
    </cfRule>
  </conditionalFormatting>
  <conditionalFormatting sqref="K27">
    <cfRule type="expression" dxfId="59" priority="2" stopIfTrue="1">
      <formula>IF(SUM(#REF!)=12,1,0)</formula>
    </cfRule>
  </conditionalFormatting>
  <conditionalFormatting sqref="K29">
    <cfRule type="expression" dxfId="58" priority="3" stopIfTrue="1">
      <formula>IF(SUM(#REF!)=12,1,0)</formula>
    </cfRule>
  </conditionalFormatting>
  <conditionalFormatting sqref="K28">
    <cfRule type="expression" dxfId="57" priority="4" stopIfTrue="1">
      <formula>IF(SUM(#REF!)=12,1,0)</formula>
    </cfRule>
  </conditionalFormatting>
  <dataValidations count="9">
    <dataValidation type="list" allowBlank="1" showInputMessage="1" showErrorMessage="1" sqref="C10">
      <formula1>"Yes,No"</formula1>
    </dataValidation>
    <dataValidation type="list" allowBlank="1" showInputMessage="1" showErrorMessage="1" sqref="C7">
      <formula1>lang_list</formula1>
    </dataValidation>
    <dataValidation type="list" allowBlank="1" showInputMessage="1" showErrorMessage="1" promptTitle="Select GTM-time" prompt="Use drop-down List" sqref="C13">
      <formula1>$B$42:$B$65</formula1>
    </dataValidation>
    <dataValidation type="list" allowBlank="1" showInputMessage="1" showErrorMessage="1" promptTitle="Select Minutes" prompt="Use drop-down List" sqref="C16">
      <formula1>$B$67:$B$70</formula1>
    </dataValidation>
    <dataValidation type="list" allowBlank="1" showInputMessage="1" showErrorMessage="1" sqref="V26:V27">
      <formula1>A</formula1>
    </dataValidation>
    <dataValidation type="list" allowBlank="1" showInputMessage="1" showErrorMessage="1" sqref="V32:V33">
      <formula1>B</formula1>
    </dataValidation>
    <dataValidation type="list" allowBlank="1" showInputMessage="1" showErrorMessage="1" sqref="V38:V39">
      <formula1>C_group</formula1>
    </dataValidation>
    <dataValidation type="list" allowBlank="1" showInputMessage="1" showErrorMessage="1" sqref="V44:V45">
      <formula1>D</formula1>
    </dataValidation>
    <dataValidation type="whole" operator="lessThan" allowBlank="1" showInputMessage="1" showErrorMessage="1" sqref="G26:J29 G32:J35 G38:J41 G44:J47">
      <formula1>200</formula1>
    </dataValidation>
  </dataValidations>
  <hyperlinks>
    <hyperlink ref="F15" location="Созламалар!F16" display="#7 қоида"/>
    <hyperlink ref="F16" location="Созламалар!U22" display="Созламалар!U22"/>
    <hyperlink ref="A1:L1" r:id="rId1" display="XABARDOR.UZ  —  СИЗ УЧУН КЕЧА-КУНДУЗ"/>
    <hyperlink ref="B2:K2" r:id="rId2" display="ЎЗБЕК ТИЛИДАГИ ЭНГ ПОЗИТИВ САЙТГА МАРҲАМАТ"/>
    <hyperlink ref="A3:L3" r:id="rId3" display=","/>
    <hyperlink ref="L2" r:id="rId4"/>
  </hyperlinks>
  <pageMargins left="0.75" right="0.75" top="1" bottom="1" header="0.5" footer="0.5"/>
  <pageSetup paperSize="9" orientation="portrait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Z81"/>
  <sheetViews>
    <sheetView showGridLines="0" tabSelected="1" zoomScaleNormal="100" workbookViewId="0">
      <selection activeCell="P12" sqref="P12:S12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2.5703125" style="4" customWidth="1"/>
    <col min="6" max="7" width="5.28515625" style="5" customWidth="1"/>
    <col min="8" max="8" width="22.5703125" style="6" customWidth="1"/>
    <col min="9" max="9" width="11.5703125" style="4" customWidth="1"/>
    <col min="10" max="11" width="4.28515625" style="4" customWidth="1"/>
    <col min="12" max="12" width="3.42578125" style="2" customWidth="1"/>
    <col min="13" max="13" width="14" style="24" customWidth="1"/>
    <col min="14" max="17" width="5.42578125" style="25" customWidth="1"/>
    <col min="18" max="18" width="7.7109375" style="25" customWidth="1"/>
    <col min="19" max="19" width="6.7109375" style="25" customWidth="1"/>
    <col min="20" max="20" width="3.42578125" style="39" customWidth="1"/>
    <col min="21" max="21" width="15.42578125" style="52" hidden="1" customWidth="1"/>
    <col min="22" max="23" width="16" style="58" hidden="1" customWidth="1"/>
    <col min="24" max="24" width="5" style="53" hidden="1" customWidth="1"/>
    <col min="25" max="26" width="6.140625" style="52" hidden="1" customWidth="1"/>
    <col min="27" max="27" width="4.28515625" style="53" hidden="1" customWidth="1"/>
    <col min="28" max="28" width="5.42578125" style="52" hidden="1" customWidth="1"/>
    <col min="29" max="29" width="13.42578125" style="53" hidden="1" customWidth="1"/>
    <col min="30" max="34" width="5.42578125" style="52" hidden="1" customWidth="1"/>
    <col min="35" max="37" width="6" style="52" hidden="1" customWidth="1"/>
    <col min="38" max="38" width="5.42578125" style="52" hidden="1" customWidth="1"/>
    <col min="39" max="39" width="6" style="52" hidden="1" customWidth="1"/>
    <col min="40" max="40" width="27" style="53" hidden="1" customWidth="1"/>
    <col min="41" max="41" width="10" style="53" hidden="1" customWidth="1"/>
    <col min="42" max="42" width="15.28515625" style="54" hidden="1" customWidth="1"/>
    <col min="43" max="43" width="4.7109375" style="55" hidden="1" customWidth="1"/>
    <col min="44" max="47" width="4.7109375" style="56" hidden="1" customWidth="1"/>
    <col min="48" max="50" width="9.140625" style="57" hidden="1" customWidth="1"/>
    <col min="51" max="51" width="9.140625" style="67" hidden="1" customWidth="1"/>
    <col min="52" max="52" width="9.140625" style="2" hidden="1" customWidth="1"/>
    <col min="53" max="16384" width="9.140625" style="2"/>
  </cols>
  <sheetData>
    <row r="1" spans="1:47" ht="52.5" customHeight="1" thickBot="1" x14ac:dyDescent="0.25">
      <c r="A1" s="257" t="s">
        <v>330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</row>
    <row r="2" spans="1:47" ht="33.75" customHeight="1" thickBot="1" x14ac:dyDescent="0.25">
      <c r="A2" s="258" t="s">
        <v>332</v>
      </c>
      <c r="B2" s="287"/>
      <c r="C2" s="284" t="s">
        <v>331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6"/>
      <c r="R2" s="288" t="s">
        <v>332</v>
      </c>
      <c r="S2" s="258"/>
    </row>
    <row r="3" spans="1:47" ht="15.75" customHeight="1" x14ac:dyDescent="0.2">
      <c r="A3" s="258" t="s">
        <v>332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</row>
    <row r="4" spans="1:47" ht="13.5" thickBot="1" x14ac:dyDescent="0.25"/>
    <row r="5" spans="1:47" ht="47.25" thickBot="1" x14ac:dyDescent="0.25">
      <c r="A5" s="303" t="str">
        <f>INDEX(T,2,lang)</f>
        <v>Футбол бўйича 2015 йилги Осиё Кубоги финал босқичи ўйинлари жадвали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5"/>
      <c r="V5" s="52"/>
      <c r="W5" s="52"/>
      <c r="X5" s="52"/>
      <c r="AA5" s="52"/>
      <c r="AC5" s="52"/>
      <c r="AE5" s="53"/>
      <c r="AF5" s="53"/>
      <c r="AG5" s="54"/>
      <c r="AH5" s="55"/>
      <c r="AI5" s="56"/>
      <c r="AJ5" s="56"/>
      <c r="AK5" s="56"/>
      <c r="AL5" s="56"/>
      <c r="AM5" s="57"/>
      <c r="AN5" s="57"/>
      <c r="AO5" s="57"/>
      <c r="AP5" s="57"/>
      <c r="AQ5" s="57"/>
      <c r="AR5" s="57"/>
      <c r="AS5" s="57"/>
      <c r="AT5" s="57"/>
      <c r="AU5" s="57"/>
    </row>
    <row r="6" spans="1:47" ht="19.5" customHeight="1" thickBot="1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V6" s="52"/>
      <c r="W6" s="52"/>
      <c r="X6" s="52"/>
      <c r="AA6" s="52"/>
      <c r="AC6" s="52"/>
      <c r="AE6" s="53"/>
      <c r="AF6" s="53"/>
      <c r="AG6" s="54"/>
      <c r="AH6" s="55"/>
      <c r="AI6" s="56"/>
      <c r="AJ6" s="56"/>
      <c r="AK6" s="56"/>
      <c r="AL6" s="56"/>
      <c r="AM6" s="57"/>
      <c r="AN6" s="57"/>
      <c r="AO6" s="57"/>
      <c r="AP6" s="57"/>
      <c r="AQ6" s="57"/>
      <c r="AR6" s="57"/>
      <c r="AS6" s="57"/>
      <c r="AT6" s="57"/>
      <c r="AU6" s="57"/>
    </row>
    <row r="7" spans="1:47" ht="15.75" customHeight="1" thickTop="1" thickBot="1" x14ac:dyDescent="0.25">
      <c r="A7" s="232"/>
      <c r="B7" s="233"/>
      <c r="C7" s="233"/>
      <c r="D7" s="233"/>
      <c r="E7" s="312" t="str">
        <f>INDEX(T,141,lang)</f>
        <v>"Sky-Chess" шахмат мактаби</v>
      </c>
      <c r="F7" s="313"/>
      <c r="G7" s="314"/>
      <c r="H7" s="237"/>
      <c r="I7" s="321" t="str">
        <f>INDEX(T,147,lang)</f>
        <v>Асл миллий таомлар маскани</v>
      </c>
      <c r="J7" s="321"/>
      <c r="K7" s="321"/>
      <c r="L7" s="322"/>
      <c r="M7" s="298" t="str">
        <f>INDEX(T,137,lang)</f>
        <v>Янги узилган гуллар</v>
      </c>
      <c r="N7" s="290"/>
      <c r="O7" s="290"/>
      <c r="P7" s="289" t="str">
        <f>INDEX(T,138,lang)</f>
        <v>Тадбирларни безатиш</v>
      </c>
      <c r="Q7" s="290"/>
      <c r="R7" s="290"/>
      <c r="S7" s="291"/>
      <c r="V7" s="52"/>
      <c r="W7" s="52"/>
      <c r="X7" s="52"/>
      <c r="AA7" s="52"/>
      <c r="AC7" s="52"/>
      <c r="AE7" s="53"/>
      <c r="AF7" s="53"/>
      <c r="AG7" s="54"/>
      <c r="AH7" s="55"/>
      <c r="AI7" s="56"/>
      <c r="AJ7" s="56"/>
      <c r="AK7" s="56"/>
      <c r="AL7" s="56"/>
      <c r="AM7" s="57"/>
      <c r="AN7" s="57"/>
      <c r="AO7" s="57"/>
      <c r="AP7" s="57"/>
      <c r="AQ7" s="57"/>
      <c r="AR7" s="57"/>
      <c r="AS7" s="57"/>
      <c r="AT7" s="57"/>
      <c r="AU7" s="57"/>
    </row>
    <row r="8" spans="1:47" ht="15.75" customHeight="1" x14ac:dyDescent="0.2">
      <c r="A8" s="234"/>
      <c r="B8" s="235"/>
      <c r="C8" s="235"/>
      <c r="D8" s="235"/>
      <c r="E8" s="315" t="str">
        <f>INDEX(T,142,lang)</f>
        <v>Халқаро гроссмейстер ва малакали мураббийлардан шахмат сабоқлари</v>
      </c>
      <c r="F8" s="316"/>
      <c r="G8" s="317"/>
      <c r="H8" s="238"/>
      <c r="I8" s="323"/>
      <c r="J8" s="323"/>
      <c r="K8" s="323"/>
      <c r="L8" s="324"/>
      <c r="M8" s="239"/>
      <c r="N8" s="236"/>
      <c r="O8" s="236"/>
      <c r="P8" s="292" t="str">
        <f>INDEX(T,139,lang)</f>
        <v>Тошкент, Шаҳрисабз, 15 ("Ойбек" метро)</v>
      </c>
      <c r="Q8" s="293"/>
      <c r="R8" s="293"/>
      <c r="S8" s="294"/>
      <c r="V8" s="52"/>
      <c r="W8" s="52"/>
      <c r="X8" s="52"/>
      <c r="AA8" s="52"/>
      <c r="AC8" s="52"/>
      <c r="AE8" s="53"/>
      <c r="AF8" s="53"/>
      <c r="AG8" s="54"/>
      <c r="AH8" s="55"/>
      <c r="AI8" s="56"/>
      <c r="AJ8" s="56"/>
      <c r="AK8" s="56"/>
      <c r="AL8" s="56"/>
      <c r="AM8" s="57"/>
      <c r="AN8" s="57"/>
      <c r="AO8" s="57"/>
      <c r="AP8" s="57"/>
      <c r="AQ8" s="57"/>
      <c r="AR8" s="57"/>
      <c r="AS8" s="57"/>
      <c r="AT8" s="57"/>
      <c r="AU8" s="57"/>
    </row>
    <row r="9" spans="1:47" ht="15.75" customHeight="1" x14ac:dyDescent="0.2">
      <c r="A9" s="299" t="str">
        <f>INDEX(T,145,lang)</f>
        <v>Ахборот-таҳлилий портали</v>
      </c>
      <c r="B9" s="300"/>
      <c r="C9" s="300"/>
      <c r="D9" s="300"/>
      <c r="E9" s="315"/>
      <c r="F9" s="316"/>
      <c r="G9" s="317"/>
      <c r="H9" s="242"/>
      <c r="I9" s="325"/>
      <c r="J9" s="325"/>
      <c r="K9" s="325"/>
      <c r="L9" s="326"/>
      <c r="M9" s="239"/>
      <c r="N9" s="236"/>
      <c r="O9" s="236"/>
      <c r="P9" s="292"/>
      <c r="Q9" s="293"/>
      <c r="R9" s="293"/>
      <c r="S9" s="294"/>
      <c r="V9" s="52"/>
      <c r="W9" s="52"/>
      <c r="X9" s="52"/>
      <c r="AA9" s="52"/>
      <c r="AC9" s="52"/>
      <c r="AE9" s="53"/>
      <c r="AF9" s="53"/>
      <c r="AG9" s="54"/>
      <c r="AH9" s="55"/>
      <c r="AI9" s="56"/>
      <c r="AJ9" s="56"/>
      <c r="AK9" s="56"/>
      <c r="AL9" s="56"/>
      <c r="AM9" s="57"/>
      <c r="AN9" s="57"/>
      <c r="AO9" s="57"/>
      <c r="AP9" s="57"/>
      <c r="AQ9" s="57"/>
      <c r="AR9" s="57"/>
      <c r="AS9" s="57"/>
      <c r="AT9" s="57"/>
      <c r="AU9" s="57"/>
    </row>
    <row r="10" spans="1:47" ht="15.75" customHeight="1" thickBot="1" x14ac:dyDescent="0.3">
      <c r="A10" s="301"/>
      <c r="B10" s="302"/>
      <c r="C10" s="302"/>
      <c r="D10" s="302"/>
      <c r="E10" s="318" t="str">
        <f>INDEX(T,143,lang)</f>
        <v>Тел: (91) 164-91-04 | www.skychess.uz</v>
      </c>
      <c r="F10" s="319"/>
      <c r="G10" s="320"/>
      <c r="H10" s="327" t="str">
        <f>INDEX(T,148,lang)</f>
        <v>"Ганга" дўкони рўпарасида | (90) 949-98-89</v>
      </c>
      <c r="I10" s="328"/>
      <c r="J10" s="328"/>
      <c r="K10" s="328"/>
      <c r="L10" s="328"/>
      <c r="M10" s="240"/>
      <c r="N10" s="241"/>
      <c r="O10" s="241"/>
      <c r="P10" s="295" t="str">
        <f>INDEX(T,140,lang)</f>
        <v xml:space="preserve"> Тел: (95) 145-03-20</v>
      </c>
      <c r="Q10" s="296"/>
      <c r="R10" s="296"/>
      <c r="S10" s="297"/>
      <c r="V10" s="52"/>
      <c r="W10" s="52"/>
      <c r="X10" s="52"/>
      <c r="AA10" s="52"/>
      <c r="AC10" s="52"/>
      <c r="AE10" s="53"/>
      <c r="AF10" s="53"/>
      <c r="AG10" s="54"/>
      <c r="AH10" s="55"/>
      <c r="AI10" s="56"/>
      <c r="AJ10" s="56"/>
      <c r="AK10" s="56"/>
      <c r="AL10" s="56"/>
      <c r="AM10" s="57"/>
      <c r="AN10" s="57"/>
      <c r="AO10" s="57"/>
      <c r="AP10" s="57"/>
      <c r="AQ10" s="57"/>
      <c r="AR10" s="57"/>
      <c r="AS10" s="57"/>
      <c r="AT10" s="57"/>
      <c r="AU10" s="57"/>
    </row>
    <row r="11" spans="1:47" ht="12.75" customHeight="1" x14ac:dyDescent="0.2">
      <c r="B11" s="229"/>
      <c r="C11" s="187"/>
      <c r="D11" s="187"/>
      <c r="E11" s="187"/>
      <c r="F11" s="187"/>
      <c r="G11" s="187"/>
      <c r="I11" s="229"/>
      <c r="J11" s="187"/>
      <c r="K11" s="187"/>
      <c r="L11" s="187"/>
      <c r="M11" s="187"/>
      <c r="N11" s="187"/>
      <c r="O11" s="187"/>
      <c r="P11" s="230"/>
      <c r="Q11" s="230"/>
      <c r="V11" s="52"/>
      <c r="W11" s="52"/>
      <c r="X11" s="52"/>
      <c r="AA11" s="52"/>
      <c r="AC11" s="52"/>
      <c r="AE11" s="53"/>
      <c r="AF11" s="53"/>
      <c r="AG11" s="54"/>
      <c r="AH11" s="55"/>
      <c r="AI11" s="56"/>
      <c r="AJ11" s="56"/>
      <c r="AK11" s="56"/>
      <c r="AL11" s="56"/>
      <c r="AM11" s="57"/>
      <c r="AN11" s="57"/>
      <c r="AO11" s="57"/>
      <c r="AP11" s="57"/>
      <c r="AQ11" s="57"/>
      <c r="AR11" s="57"/>
      <c r="AS11" s="57"/>
      <c r="AT11" s="57"/>
      <c r="AU11" s="57"/>
    </row>
    <row r="12" spans="1:47" ht="17.25" customHeight="1" x14ac:dyDescent="0.3">
      <c r="A12" s="66"/>
      <c r="B12" s="66"/>
      <c r="C12" s="341"/>
      <c r="D12" s="341"/>
      <c r="E12" s="341"/>
      <c r="F12" s="341"/>
      <c r="G12" s="66"/>
      <c r="H12" s="92"/>
      <c r="I12" s="92"/>
      <c r="J12" s="92"/>
      <c r="K12" s="92"/>
      <c r="L12" s="66"/>
      <c r="M12" s="66"/>
      <c r="N12" s="66"/>
      <c r="O12" s="66"/>
      <c r="P12" s="342" t="str">
        <f>"Language: " &amp; Settings!C7</f>
        <v>Language: Uzbek</v>
      </c>
      <c r="Q12" s="343"/>
      <c r="R12" s="343"/>
      <c r="S12" s="344"/>
      <c r="V12" s="52"/>
      <c r="W12" s="52"/>
      <c r="X12" s="52"/>
      <c r="AA12" s="52"/>
      <c r="AC12" s="52"/>
      <c r="AE12" s="53"/>
      <c r="AF12" s="53"/>
      <c r="AG12" s="54"/>
      <c r="AH12" s="55"/>
      <c r="AI12" s="56"/>
      <c r="AJ12" s="56"/>
      <c r="AK12" s="56"/>
      <c r="AL12" s="56"/>
      <c r="AM12" s="57"/>
      <c r="AN12" s="57"/>
      <c r="AO12" s="57"/>
      <c r="AP12" s="57"/>
      <c r="AQ12" s="57"/>
      <c r="AR12" s="57"/>
      <c r="AS12" s="57"/>
      <c r="AT12" s="57"/>
      <c r="AU12" s="57"/>
    </row>
    <row r="13" spans="1:47" ht="6.75" customHeight="1" x14ac:dyDescent="0.2"/>
    <row r="14" spans="1:47" ht="12.75" customHeight="1" x14ac:dyDescent="0.2">
      <c r="A14" s="335" t="str">
        <f>INDEX(T,3,lang)</f>
        <v>Гуруҳ босқичи</v>
      </c>
      <c r="B14" s="336"/>
      <c r="C14" s="336"/>
      <c r="D14" s="336"/>
      <c r="E14" s="336"/>
      <c r="F14" s="336"/>
      <c r="G14" s="336"/>
      <c r="H14" s="336"/>
      <c r="I14" s="336"/>
      <c r="J14" s="336"/>
      <c r="K14" s="337"/>
      <c r="M14" s="306" t="str">
        <f>INDEX(T,135,lang)</f>
        <v>Муаллиф: www.xushnudbek.uz</v>
      </c>
      <c r="N14" s="307"/>
      <c r="O14" s="307"/>
      <c r="P14" s="307"/>
      <c r="Q14" s="307"/>
      <c r="R14" s="307"/>
      <c r="S14" s="308"/>
    </row>
    <row r="15" spans="1:47" ht="12.75" customHeight="1" x14ac:dyDescent="0.2">
      <c r="A15" s="338"/>
      <c r="B15" s="339"/>
      <c r="C15" s="339"/>
      <c r="D15" s="339"/>
      <c r="E15" s="339"/>
      <c r="F15" s="339"/>
      <c r="G15" s="339"/>
      <c r="H15" s="339"/>
      <c r="I15" s="339"/>
      <c r="J15" s="339"/>
      <c r="K15" s="340"/>
      <c r="M15" s="309"/>
      <c r="N15" s="310"/>
      <c r="O15" s="310"/>
      <c r="P15" s="310"/>
      <c r="Q15" s="310"/>
      <c r="R15" s="310"/>
      <c r="S15" s="311"/>
      <c r="U15" s="52" t="s">
        <v>42</v>
      </c>
      <c r="Y15" s="52" t="s">
        <v>11</v>
      </c>
      <c r="Z15" s="52" t="s">
        <v>12</v>
      </c>
      <c r="AB15" s="52" t="s">
        <v>10</v>
      </c>
      <c r="AC15" s="52" t="s">
        <v>9</v>
      </c>
      <c r="AD15" s="52" t="s">
        <v>4</v>
      </c>
      <c r="AE15" s="52" t="s">
        <v>5</v>
      </c>
      <c r="AF15" s="52" t="s">
        <v>6</v>
      </c>
      <c r="AG15" s="52" t="s">
        <v>11</v>
      </c>
      <c r="AH15" s="52" t="s">
        <v>12</v>
      </c>
      <c r="AI15" s="52" t="s">
        <v>108</v>
      </c>
      <c r="AJ15" s="52" t="s">
        <v>108</v>
      </c>
      <c r="AL15" s="52" t="s">
        <v>7</v>
      </c>
      <c r="AM15" s="52" t="s">
        <v>107</v>
      </c>
      <c r="AN15" s="52" t="s">
        <v>1</v>
      </c>
      <c r="AO15" s="52" t="s">
        <v>8</v>
      </c>
      <c r="AQ15" s="55" t="s">
        <v>4</v>
      </c>
      <c r="AR15" s="56" t="s">
        <v>5</v>
      </c>
      <c r="AS15" s="56" t="s">
        <v>11</v>
      </c>
      <c r="AT15" s="56" t="s">
        <v>12</v>
      </c>
      <c r="AU15" s="56" t="s">
        <v>0</v>
      </c>
    </row>
    <row r="16" spans="1:47" ht="16.5" customHeight="1" x14ac:dyDescent="0.2">
      <c r="A16" s="127">
        <v>1</v>
      </c>
      <c r="B16" s="68" t="str">
        <f t="shared" ref="B16:B39" si="0">INDEX(T,18+INT(MOD(U16-1,7)),lang)</f>
        <v>Жума</v>
      </c>
      <c r="C16" s="69" t="str">
        <f t="shared" ref="C16:C39" si="1">INDEX(T,24+MONTH(U16),lang) &amp; " " &amp; DAY(U16) &amp; ", " &amp; YEAR(U16)</f>
        <v>Янв 9, 2015</v>
      </c>
      <c r="D16" s="70">
        <f>TIME(HOUR(U16),MINUTE(U16),0)</f>
        <v>0.58333333333333337</v>
      </c>
      <c r="E16" s="71" t="str">
        <f>AC17</f>
        <v>Австралия</v>
      </c>
      <c r="F16" s="140"/>
      <c r="G16" s="141"/>
      <c r="H16" s="100" t="str">
        <f>AC20</f>
        <v>Кувайт</v>
      </c>
      <c r="I16" s="329" t="str">
        <f>INDEX(T,103,lang)</f>
        <v>Мельбурн</v>
      </c>
      <c r="J16" s="330"/>
      <c r="K16" s="331"/>
      <c r="U16" s="52">
        <f>DATE(2015,1,8)+TIME(22,0,0)+gmt_delta</f>
        <v>42013.583333333328</v>
      </c>
      <c r="V16" s="58" t="str">
        <f>IF(OR(F16="",G16=""),"",IF(F16&gt;G16,E16&amp;"_win",IF(F16&lt;G16,E16&amp;"_lose",E16&amp;"_draw")))</f>
        <v/>
      </c>
      <c r="W16" s="58" t="str">
        <f>IF(V16="","",IF(F16&lt;G16,H16&amp;"_win",IF(F16&gt;G16,H16&amp;"_lose",H16&amp;"_draw")))</f>
        <v/>
      </c>
      <c r="X16" s="53">
        <f t="shared" ref="X16:X39" si="2">IF(V16="",0,IF(VLOOKUP(E16,$AC$17:$AL$40,7,FALSE)=VLOOKUP(H16,$AC$17:$AL$40,7,FALSE),1,0))</f>
        <v>0</v>
      </c>
      <c r="Y16" s="52">
        <f>X16*F16</f>
        <v>0</v>
      </c>
      <c r="Z16" s="52">
        <f>X16*G16</f>
        <v>0</v>
      </c>
      <c r="AI16" s="228"/>
    </row>
    <row r="17" spans="1:51" ht="16.5" customHeight="1" x14ac:dyDescent="0.2">
      <c r="A17" s="128">
        <v>2</v>
      </c>
      <c r="B17" s="72" t="str">
        <f t="shared" si="0"/>
        <v>Шанба</v>
      </c>
      <c r="C17" s="73" t="str">
        <f t="shared" si="1"/>
        <v>Янв 10, 2015</v>
      </c>
      <c r="D17" s="74">
        <f t="shared" ref="D17:D39" si="3">TIME(HOUR(U17),MINUTE(U17),0)</f>
        <v>0.41666666666666669</v>
      </c>
      <c r="E17" s="125" t="str">
        <f>AC18</f>
        <v>Жанубий Корея</v>
      </c>
      <c r="F17" s="142"/>
      <c r="G17" s="143"/>
      <c r="H17" s="101" t="str">
        <f>AC19</f>
        <v>Уммон</v>
      </c>
      <c r="I17" s="278" t="str">
        <f>INDEX(T,104,lang)</f>
        <v>Канберра</v>
      </c>
      <c r="J17" s="279"/>
      <c r="K17" s="280"/>
      <c r="M17" s="46" t="str">
        <f>INDEX(T,9,lang) &amp; " " &amp; "A"</f>
        <v>Гуруҳ A</v>
      </c>
      <c r="N17" s="47" t="str">
        <f>INDEX(T,10,lang)</f>
        <v>Ў</v>
      </c>
      <c r="O17" s="47" t="str">
        <f>INDEX(T,11,lang)</f>
        <v>Ю</v>
      </c>
      <c r="P17" s="47" t="str">
        <f>INDEX(T,12,lang)</f>
        <v>Д</v>
      </c>
      <c r="Q17" s="47" t="str">
        <f>INDEX(T,13,lang)</f>
        <v>М</v>
      </c>
      <c r="R17" s="47" t="str">
        <f>INDEX(T,14,lang)</f>
        <v>Тўп. нисб.</v>
      </c>
      <c r="S17" s="157" t="str">
        <f>INDEX(T,15,lang)</f>
        <v>Очколар</v>
      </c>
      <c r="U17" s="52">
        <f>DATE(2015,1,9)+TIME(18,0,0)+gmt_delta</f>
        <v>42014.416666666664</v>
      </c>
      <c r="V17" s="58" t="str">
        <f t="shared" ref="V17:V39" si="4">IF(OR(F17="",G17=""),"",IF(F17&gt;G17,E17&amp;"_win",IF(F17&lt;G17,E17&amp;"_lose",E17&amp;"_draw")))</f>
        <v/>
      </c>
      <c r="W17" s="58" t="str">
        <f t="shared" ref="W17:W39" si="5">IF(V17="","",IF(F17&lt;G17,H17&amp;"_win",IF(F17&gt;G17,H17&amp;"_lose",H17&amp;"_draw")))</f>
        <v/>
      </c>
      <c r="X17" s="53">
        <f t="shared" si="2"/>
        <v>0</v>
      </c>
      <c r="Y17" s="52">
        <f t="shared" ref="Y17:Y39" si="6">X17*F17</f>
        <v>0</v>
      </c>
      <c r="Z17" s="52">
        <f t="shared" ref="Z17:Z39" si="7">X17*G17</f>
        <v>0</v>
      </c>
      <c r="AB17" s="52">
        <f>COUNTIF(AO17:AO20,CONCATENATE("&gt;=",AO17))</f>
        <v>1</v>
      </c>
      <c r="AC17" s="53" t="str">
        <f>INDEX(T,38,lang)</f>
        <v>Австралия</v>
      </c>
      <c r="AD17" s="52">
        <f>COUNTIF($V$16:$W$39,"=" &amp; AC17 &amp; "_win")</f>
        <v>0</v>
      </c>
      <c r="AE17" s="52">
        <f>COUNTIF($V$16:$W$39,"=" &amp; AC17 &amp; "_draw")</f>
        <v>0</v>
      </c>
      <c r="AF17" s="52">
        <f>COUNTIF($V$16:$W$39,"=" &amp; AC17 &amp; "_lose")</f>
        <v>0</v>
      </c>
      <c r="AG17" s="52">
        <f>SUMIF($E$16:$E$39,$AC17,$F$16:$F$39) + SUMIF($H$16:$H$39,$AC17,$G$16:$G$39)</f>
        <v>0</v>
      </c>
      <c r="AH17" s="52">
        <f>SUMIF($E$16:$E$39,$AC17,$G$16:$G$39) + SUMIF($H$16:$H$39,$AC17,$F$16:$F$39)</f>
        <v>0</v>
      </c>
      <c r="AI17" s="52">
        <f>AL17</f>
        <v>0</v>
      </c>
      <c r="AJ17" s="52">
        <f>AG17-AH17</f>
        <v>0</v>
      </c>
      <c r="AK17" s="52">
        <f>(AJ17-AJ22)/AJ21</f>
        <v>0</v>
      </c>
      <c r="AL17" s="52">
        <f>AD17*3+AE17</f>
        <v>0</v>
      </c>
      <c r="AM17" s="52">
        <f>AQ17/AQ21*1000+AR17/AR21*100+AU17/AU21*10+AS17/AS21</f>
        <v>0</v>
      </c>
      <c r="AN17" s="52">
        <f>VLOOKUP(AC17,cards_A_group,2,FALSE)/2000000</f>
        <v>5.0000000000000001E-4</v>
      </c>
      <c r="AO17" s="53">
        <f>1000*AL17/AL21+10*AK17+1*AG17/AG21+100*AM17/AM21+AN17+AY17</f>
        <v>5.0100000000000003E-4</v>
      </c>
      <c r="AP17" s="54" t="str">
        <f>IF(SUM(AD17:AF20)=12,M18,INDEX(T,70,lang))</f>
        <v>1A</v>
      </c>
      <c r="AQ17" s="55">
        <f>SUMPRODUCT(($V$16:$V$39=AC17&amp;"_win")*($X$16:$X$39))+SUMPRODUCT(($W$16:$W$39=AC17&amp;"_win")*($X$16:$X$39))</f>
        <v>0</v>
      </c>
      <c r="AR17" s="56">
        <f>SUMPRODUCT(($V$16:$V$39=AC17&amp;"_draw")*($X$16:$X$39))+SUMPRODUCT(($W$16:$W$39=AC17&amp;"_draw")*($X$16:$X$39))</f>
        <v>0</v>
      </c>
      <c r="AS17" s="56">
        <f>SUMPRODUCT(($E$16:$E$39=AC17)*($X$16:$X$39)*($F$16:$F$39))+SUMPRODUCT(($H$16:$H$39=AC17)*($X$16:$X$39)*($G$16:$G$39))</f>
        <v>0</v>
      </c>
      <c r="AT17" s="56">
        <f>SUMPRODUCT(($E$16:$E$39=AC17)*($X$16:$X$39)*($G$16:$G$39))+SUMPRODUCT(($H$16:$H$39=AC17)*($X$16:$X$39)*($F$16:$F$39))</f>
        <v>0</v>
      </c>
      <c r="AU17" s="56">
        <f>AS17-AT17</f>
        <v>0</v>
      </c>
      <c r="AW17" s="53" t="str">
        <f>INDEX(T,38,lang)</f>
        <v>Австралия</v>
      </c>
      <c r="AX17" s="57">
        <v>2000</v>
      </c>
      <c r="AY17" s="52">
        <f>VLOOKUP(AC17,db_fifarank,2,FALSE)/2000000000</f>
        <v>9.9999999999999995E-7</v>
      </c>
    </row>
    <row r="18" spans="1:51" ht="16.5" customHeight="1" x14ac:dyDescent="0.2">
      <c r="A18" s="210">
        <v>3</v>
      </c>
      <c r="B18" s="211" t="str">
        <f t="shared" si="0"/>
        <v>Шанба</v>
      </c>
      <c r="C18" s="212" t="str">
        <f t="shared" si="1"/>
        <v>Янв 10, 2015</v>
      </c>
      <c r="D18" s="213">
        <f t="shared" si="3"/>
        <v>0.5</v>
      </c>
      <c r="E18" s="214" t="str">
        <f>AC23</f>
        <v>Ўзбекистон</v>
      </c>
      <c r="F18" s="215"/>
      <c r="G18" s="216"/>
      <c r="H18" s="217" t="str">
        <f>AC26</f>
        <v>Шимолий Корея</v>
      </c>
      <c r="I18" s="281" t="str">
        <f>INDEX(T,105,lang)</f>
        <v>Сидней</v>
      </c>
      <c r="J18" s="282"/>
      <c r="K18" s="283"/>
      <c r="M18" s="21" t="str">
        <f>VLOOKUP(1,AB17:AL20,2,FALSE)</f>
        <v>Австралия</v>
      </c>
      <c r="N18" s="26">
        <f>O18+P18+Q18</f>
        <v>0</v>
      </c>
      <c r="O18" s="26">
        <f>VLOOKUP(1,AB17:AL20,3,FALSE)</f>
        <v>0</v>
      </c>
      <c r="P18" s="26">
        <f>VLOOKUP(1,AB17:AL20,4,FALSE)</f>
        <v>0</v>
      </c>
      <c r="Q18" s="26">
        <f>VLOOKUP(1,AB17:AL20,5,FALSE)</f>
        <v>0</v>
      </c>
      <c r="R18" s="26" t="str">
        <f>VLOOKUP(1,AB17:AL20,6,FALSE) &amp; " - " &amp; VLOOKUP(1,AB17:AL20,7,FALSE)</f>
        <v>0 - 0</v>
      </c>
      <c r="S18" s="27">
        <f>O18*3+P18</f>
        <v>0</v>
      </c>
      <c r="U18" s="52">
        <f>DATE(2015,1,9)+TIME(20,0,0)+gmt_delta</f>
        <v>42014.5</v>
      </c>
      <c r="V18" s="58" t="str">
        <f t="shared" si="4"/>
        <v/>
      </c>
      <c r="W18" s="58" t="str">
        <f t="shared" si="5"/>
        <v/>
      </c>
      <c r="X18" s="53">
        <f t="shared" si="2"/>
        <v>0</v>
      </c>
      <c r="Y18" s="52">
        <f t="shared" si="6"/>
        <v>0</v>
      </c>
      <c r="Z18" s="52">
        <f t="shared" si="7"/>
        <v>0</v>
      </c>
      <c r="AB18" s="52">
        <f>COUNTIF(AO17:AO20,CONCATENATE("&gt;=",AO18))</f>
        <v>2</v>
      </c>
      <c r="AC18" s="53" t="str">
        <f>INDEX(T,39,lang)</f>
        <v>Жанубий Корея</v>
      </c>
      <c r="AD18" s="52">
        <f>COUNTIF($V$16:$W$39,"=" &amp; AC18 &amp; "_win")</f>
        <v>0</v>
      </c>
      <c r="AE18" s="52">
        <f>COUNTIF($V$16:$W$39,"=" &amp; AC18 &amp; "_draw")</f>
        <v>0</v>
      </c>
      <c r="AF18" s="52">
        <f>COUNTIF($V$16:$W$39,"=" &amp; AC18 &amp; "_lose")</f>
        <v>0</v>
      </c>
      <c r="AG18" s="52">
        <f>SUMIF($E$16:$E$39,$AC18,$F$16:$F$39) + SUMIF($H$16:$H$39,$AC18,$G$16:$G$39)</f>
        <v>0</v>
      </c>
      <c r="AH18" s="52">
        <f>SUMIF($E$16:$E$39,$AC18,$G$16:$G$39) + SUMIF($H$16:$H$39,$AC18,$F$16:$F$39)</f>
        <v>0</v>
      </c>
      <c r="AI18" s="52">
        <f>AL18</f>
        <v>0</v>
      </c>
      <c r="AJ18" s="52">
        <f>AG18-AH18</f>
        <v>0</v>
      </c>
      <c r="AK18" s="52">
        <f>(AJ18-AJ22)/AJ21</f>
        <v>0</v>
      </c>
      <c r="AL18" s="52">
        <f>AD18*3+AE18</f>
        <v>0</v>
      </c>
      <c r="AM18" s="52">
        <f>AQ18/AQ21*1000+AR18/AR21*100+AU18/AU21*10+AS18/AS21</f>
        <v>0</v>
      </c>
      <c r="AN18" s="52">
        <f>VLOOKUP(AC18,cards_A_group,2,FALSE)/2000000</f>
        <v>5.0000000000000001E-4</v>
      </c>
      <c r="AO18" s="53">
        <f>1000*AL18/AL21+10*AK18+1*AG18/AG21+100*AM18/AM21+AN18+AY18</f>
        <v>5.0099949999999997E-4</v>
      </c>
      <c r="AP18" s="54" t="str">
        <f>IF(SUM(AD17:AF20)=12,M19,INDEX(T,71,lang))</f>
        <v>2A</v>
      </c>
      <c r="AQ18" s="55">
        <f>SUMPRODUCT(($V$16:$V$39=AC18&amp;"_win")*($X$16:$X$39))+SUMPRODUCT(($W$16:$W$39=AC18&amp;"_win")*($X$16:$X$39))</f>
        <v>0</v>
      </c>
      <c r="AR18" s="56">
        <f>SUMPRODUCT(($V$16:$V$39=AC18&amp;"_draw")*($X$16:$X$39))+SUMPRODUCT(($W$16:$W$39=AC18&amp;"_draw")*($X$16:$X$39))</f>
        <v>0</v>
      </c>
      <c r="AS18" s="56">
        <f>SUMPRODUCT(($E$16:$E$39=AC18)*($X$16:$X$39)*($F$16:$F$39))+SUMPRODUCT(($H$16:$H$39=AC18)*($X$16:$X$39)*($G$16:$G$39))</f>
        <v>0</v>
      </c>
      <c r="AT18" s="56">
        <f>SUMPRODUCT(($E$16:$E$39=AC18)*($X$16:$X$39)*($G$16:$G$39))+SUMPRODUCT(($H$16:$H$39=AC18)*($X$16:$X$39)*($F$16:$F$39))</f>
        <v>0</v>
      </c>
      <c r="AU18" s="56">
        <f>AS18-AT18</f>
        <v>0</v>
      </c>
      <c r="AW18" s="53" t="str">
        <f>INDEX(T,39,lang)</f>
        <v>Жанубий Корея</v>
      </c>
      <c r="AX18" s="57">
        <v>1999</v>
      </c>
      <c r="AY18" s="52">
        <f>VLOOKUP(AC18,db_fifarank,2,FALSE)/2000000000</f>
        <v>9.9949999999999992E-7</v>
      </c>
    </row>
    <row r="19" spans="1:51" ht="16.5" customHeight="1" x14ac:dyDescent="0.2">
      <c r="A19" s="128">
        <v>4</v>
      </c>
      <c r="B19" s="72" t="str">
        <f t="shared" si="0"/>
        <v>Шанба</v>
      </c>
      <c r="C19" s="73" t="str">
        <f t="shared" si="1"/>
        <v>Янв 10, 2015</v>
      </c>
      <c r="D19" s="74">
        <f t="shared" si="3"/>
        <v>0.58333333333333337</v>
      </c>
      <c r="E19" s="102" t="str">
        <f>AC24</f>
        <v>С.Арабистони</v>
      </c>
      <c r="F19" s="142"/>
      <c r="G19" s="143"/>
      <c r="H19" s="101" t="str">
        <f>AC25</f>
        <v>Хитой</v>
      </c>
      <c r="I19" s="278" t="str">
        <f>INDEX(T,106,lang)</f>
        <v>Брисбен</v>
      </c>
      <c r="J19" s="279"/>
      <c r="K19" s="280"/>
      <c r="M19" s="22" t="str">
        <f>VLOOKUP(2,AB17:AL20,2,FALSE)</f>
        <v>Жанубий Корея</v>
      </c>
      <c r="N19" s="28">
        <f>O19+P19+Q19</f>
        <v>0</v>
      </c>
      <c r="O19" s="28">
        <f>VLOOKUP(2,AB17:AL20,3,FALSE)</f>
        <v>0</v>
      </c>
      <c r="P19" s="28">
        <f>VLOOKUP(2,AB17:AL20,4,FALSE)</f>
        <v>0</v>
      </c>
      <c r="Q19" s="28">
        <f>VLOOKUP(2,AB17:AL20,5,FALSE)</f>
        <v>0</v>
      </c>
      <c r="R19" s="28" t="str">
        <f>VLOOKUP(2,AB17:AL20,6,FALSE) &amp; " - " &amp; VLOOKUP(2,AB17:AL20,7,FALSE)</f>
        <v>0 - 0</v>
      </c>
      <c r="S19" s="29">
        <f>O19*3+P19</f>
        <v>0</v>
      </c>
      <c r="U19" s="52">
        <f>DATE(2015,1,9)+TIME(22,0,0)+gmt_delta</f>
        <v>42014.583333333328</v>
      </c>
      <c r="V19" s="58" t="str">
        <f t="shared" si="4"/>
        <v/>
      </c>
      <c r="W19" s="58" t="str">
        <f t="shared" si="5"/>
        <v/>
      </c>
      <c r="X19" s="53">
        <f t="shared" si="2"/>
        <v>0</v>
      </c>
      <c r="Y19" s="52">
        <f t="shared" si="6"/>
        <v>0</v>
      </c>
      <c r="Z19" s="52">
        <f t="shared" si="7"/>
        <v>0</v>
      </c>
      <c r="AB19" s="52">
        <f>COUNTIF(AO17:AO20,CONCATENATE("&gt;=",AO19))</f>
        <v>3</v>
      </c>
      <c r="AC19" s="53" t="str">
        <f>INDEX(T,40,lang)</f>
        <v>Уммон</v>
      </c>
      <c r="AD19" s="52">
        <f>COUNTIF($V$16:$W$39,"=" &amp; AC19 &amp; "_win")</f>
        <v>0</v>
      </c>
      <c r="AE19" s="52">
        <f>COUNTIF($V$16:$W$39,"=" &amp; AC19 &amp; "_draw")</f>
        <v>0</v>
      </c>
      <c r="AF19" s="52">
        <f>COUNTIF($V$16:$W$39,"=" &amp; AC19 &amp; "_lose")</f>
        <v>0</v>
      </c>
      <c r="AG19" s="52">
        <f>SUMIF($E$16:$E$39,$AC19,$F$16:$F$39) + SUMIF($H$16:$H$39,$AC19,$G$16:$G$39)</f>
        <v>0</v>
      </c>
      <c r="AH19" s="52">
        <f>SUMIF($E$16:$E$39,$AC19,$G$16:$G$39) + SUMIF($H$16:$H$39,$AC19,$F$16:$F$39)</f>
        <v>0</v>
      </c>
      <c r="AI19" s="52">
        <f>AL19</f>
        <v>0</v>
      </c>
      <c r="AJ19" s="52">
        <f>AG19-AH19</f>
        <v>0</v>
      </c>
      <c r="AK19" s="52">
        <f>(AJ19-AJ22)/AJ21</f>
        <v>0</v>
      </c>
      <c r="AL19" s="52">
        <f>AD19*3+AE19</f>
        <v>0</v>
      </c>
      <c r="AM19" s="52">
        <f>AQ19/AQ21*1000+AR19/AR21*100+AU19/AU21*10+AS19/AS21</f>
        <v>0</v>
      </c>
      <c r="AN19" s="52">
        <f>VLOOKUP(AC19,cards_A_group,2,FALSE)/2000000</f>
        <v>5.0000000000000001E-4</v>
      </c>
      <c r="AO19" s="53">
        <f>1000*AL19/AL21+10*AK19+1*AG19/AG21+100*AM19/AM21+AN19+AY19</f>
        <v>5.0099900000000002E-4</v>
      </c>
      <c r="AQ19" s="55">
        <f>SUMPRODUCT(($V$16:$V$39=AC19&amp;"_win")*($X$16:$X$39))+SUMPRODUCT(($W$16:$W$39=AC19&amp;"_win")*($X$16:$X$39))</f>
        <v>0</v>
      </c>
      <c r="AR19" s="56">
        <f>SUMPRODUCT(($V$16:$V$39=AC19&amp;"_draw")*($X$16:$X$39))+SUMPRODUCT(($W$16:$W$39=AC19&amp;"_draw")*($X$16:$X$39))</f>
        <v>0</v>
      </c>
      <c r="AS19" s="56">
        <f>SUMPRODUCT(($E$16:$E$39=AC19)*($X$16:$X$39)*($F$16:$F$39))+SUMPRODUCT(($H$16:$H$39=AC19)*($X$16:$X$39)*($G$16:$G$39))</f>
        <v>0</v>
      </c>
      <c r="AT19" s="56">
        <f>SUMPRODUCT(($E$16:$E$39=AC19)*($X$16:$X$39)*($G$16:$G$39))+SUMPRODUCT(($H$16:$H$39=AC19)*($X$16:$X$39)*($F$16:$F$39))</f>
        <v>0</v>
      </c>
      <c r="AU19" s="56">
        <f>AS19-AT19</f>
        <v>0</v>
      </c>
      <c r="AW19" s="53" t="str">
        <f>INDEX(T,40,lang)</f>
        <v>Уммон</v>
      </c>
      <c r="AX19" s="57">
        <v>1998</v>
      </c>
      <c r="AY19" s="52">
        <f>VLOOKUP(AC19,db_fifarank,2,FALSE)/2000000000</f>
        <v>9.9900000000000009E-7</v>
      </c>
    </row>
    <row r="20" spans="1:51" ht="16.5" customHeight="1" x14ac:dyDescent="0.2">
      <c r="A20" s="128">
        <v>5</v>
      </c>
      <c r="B20" s="72" t="str">
        <f t="shared" si="0"/>
        <v>Якш</v>
      </c>
      <c r="C20" s="73" t="str">
        <f t="shared" si="1"/>
        <v>Янв 11, 2015</v>
      </c>
      <c r="D20" s="74">
        <f t="shared" si="3"/>
        <v>0.58333333333333337</v>
      </c>
      <c r="E20" s="102" t="str">
        <f>AC29</f>
        <v>Эрон</v>
      </c>
      <c r="F20" s="142"/>
      <c r="G20" s="143"/>
      <c r="H20" s="101" t="str">
        <f>AC32</f>
        <v>Баҳрайн</v>
      </c>
      <c r="I20" s="278" t="str">
        <f>INDEX(T,103,lang)</f>
        <v>Мельбурн</v>
      </c>
      <c r="J20" s="279"/>
      <c r="K20" s="280"/>
      <c r="M20" s="22" t="str">
        <f>VLOOKUP(3,AB17:AL20,2,FALSE)</f>
        <v>Уммон</v>
      </c>
      <c r="N20" s="28">
        <f>O20+P20+Q20</f>
        <v>0</v>
      </c>
      <c r="O20" s="28">
        <f>VLOOKUP(3,AB17:AL20,3,FALSE)</f>
        <v>0</v>
      </c>
      <c r="P20" s="28">
        <f>VLOOKUP(3,AB17:AL20,4,FALSE)</f>
        <v>0</v>
      </c>
      <c r="Q20" s="28">
        <f>VLOOKUP(3,AB17:AL20,5,FALSE)</f>
        <v>0</v>
      </c>
      <c r="R20" s="28" t="str">
        <f>VLOOKUP(3,AB17:AL20,6,FALSE) &amp; " - " &amp; VLOOKUP(3,AB17:AL20,7,FALSE)</f>
        <v>0 - 0</v>
      </c>
      <c r="S20" s="29">
        <f>O20*3+P20</f>
        <v>0</v>
      </c>
      <c r="U20" s="52">
        <f>DATE(2015,1,10)+TIME(22,0,0)+gmt_delta</f>
        <v>42015.583333333328</v>
      </c>
      <c r="V20" s="58" t="str">
        <f t="shared" si="4"/>
        <v/>
      </c>
      <c r="W20" s="58" t="str">
        <f t="shared" si="5"/>
        <v/>
      </c>
      <c r="X20" s="53">
        <f t="shared" si="2"/>
        <v>0</v>
      </c>
      <c r="Y20" s="52">
        <f t="shared" si="6"/>
        <v>0</v>
      </c>
      <c r="Z20" s="52">
        <f t="shared" si="7"/>
        <v>0</v>
      </c>
      <c r="AB20" s="52">
        <f>COUNTIF(AO17:AO20,CONCATENATE("&gt;=",AO20))</f>
        <v>4</v>
      </c>
      <c r="AC20" s="53" t="str">
        <f>INDEX(T,41,lang)</f>
        <v>Кувайт</v>
      </c>
      <c r="AD20" s="52">
        <f>COUNTIF($V$16:$W$39,"=" &amp; AC20 &amp; "_win")</f>
        <v>0</v>
      </c>
      <c r="AE20" s="52">
        <f>COUNTIF($V$16:$W$39,"=" &amp; AC20 &amp; "_draw")</f>
        <v>0</v>
      </c>
      <c r="AF20" s="52">
        <f>COUNTIF($V$16:$W$39,"=" &amp; AC20 &amp; "_lose")</f>
        <v>0</v>
      </c>
      <c r="AG20" s="52">
        <f>SUMIF($E$16:$E$39,$AC20,$F$16:$F$39) + SUMIF($H$16:$H$39,$AC20,$G$16:$G$39)</f>
        <v>0</v>
      </c>
      <c r="AH20" s="52">
        <f>SUMIF($E$16:$E$39,$AC20,$G$16:$G$39) + SUMIF($H$16:$H$39,$AC20,$F$16:$F$39)</f>
        <v>0</v>
      </c>
      <c r="AI20" s="52">
        <f>AL20</f>
        <v>0</v>
      </c>
      <c r="AJ20" s="52">
        <f>AG20-AH20</f>
        <v>0</v>
      </c>
      <c r="AK20" s="52">
        <f>(AJ20-AJ22)/AJ21</f>
        <v>0</v>
      </c>
      <c r="AL20" s="52">
        <f>AD20*3+AE20</f>
        <v>0</v>
      </c>
      <c r="AM20" s="52">
        <f>AQ20/AQ21*1000+AR20/AR21*100+AU20/AU21*10+AS20/AS21</f>
        <v>0</v>
      </c>
      <c r="AN20" s="52">
        <f>VLOOKUP(AC20,cards_A_group,2,FALSE)/2000000</f>
        <v>5.0000000000000001E-4</v>
      </c>
      <c r="AO20" s="53">
        <f>1000*AL20/AL21+10*AK20+1*AG20/AG21+100*AM20/AM21+AN20+AY20</f>
        <v>5.0099849999999996E-4</v>
      </c>
      <c r="AQ20" s="55">
        <f>SUMPRODUCT(($V$16:$V$39=AC20&amp;"_win")*($X$16:$X$39))+SUMPRODUCT(($W$16:$W$39=AC20&amp;"_win")*($X$16:$X$39))</f>
        <v>0</v>
      </c>
      <c r="AR20" s="56">
        <f>SUMPRODUCT(($V$16:$V$39=AC20&amp;"_draw")*($X$16:$X$39))+SUMPRODUCT(($W$16:$W$39=AC20&amp;"_draw")*($X$16:$X$39))</f>
        <v>0</v>
      </c>
      <c r="AS20" s="56">
        <f>SUMPRODUCT(($E$16:$E$39=AC20)*($X$16:$X$39)*($F$16:$F$39))+SUMPRODUCT(($H$16:$H$39=AC20)*($X$16:$X$39)*($G$16:$G$39))</f>
        <v>0</v>
      </c>
      <c r="AT20" s="56">
        <f>SUMPRODUCT(($E$16:$E$39=AC20)*($X$16:$X$39)*($G$16:$G$39))+SUMPRODUCT(($H$16:$H$39=AC20)*($X$16:$X$39)*($F$16:$F$39))</f>
        <v>0</v>
      </c>
      <c r="AU20" s="56">
        <f>AS20-AT20</f>
        <v>0</v>
      </c>
      <c r="AW20" s="53" t="str">
        <f>INDEX(T,41,lang)</f>
        <v>Кувайт</v>
      </c>
      <c r="AX20" s="57">
        <v>1997</v>
      </c>
      <c r="AY20" s="52">
        <f>VLOOKUP(AC20,db_fifarank,2,FALSE)/2000000000</f>
        <v>9.9850000000000005E-7</v>
      </c>
    </row>
    <row r="21" spans="1:51" ht="16.5" customHeight="1" x14ac:dyDescent="0.2">
      <c r="A21" s="128">
        <v>6</v>
      </c>
      <c r="B21" s="72" t="str">
        <f t="shared" si="0"/>
        <v>Якш</v>
      </c>
      <c r="C21" s="73" t="str">
        <f t="shared" si="1"/>
        <v>Янв 11, 2015</v>
      </c>
      <c r="D21" s="74">
        <f t="shared" si="3"/>
        <v>0.5</v>
      </c>
      <c r="E21" s="102" t="str">
        <f>AC30</f>
        <v>БАА</v>
      </c>
      <c r="F21" s="142"/>
      <c r="G21" s="143"/>
      <c r="H21" s="101" t="str">
        <f>AC31</f>
        <v>Қатар</v>
      </c>
      <c r="I21" s="278" t="str">
        <f>INDEX(T,104,lang)</f>
        <v>Канберра</v>
      </c>
      <c r="J21" s="279"/>
      <c r="K21" s="280"/>
      <c r="M21" s="23" t="str">
        <f>VLOOKUP(4,AB17:AL20,2,FALSE)</f>
        <v>Кувайт</v>
      </c>
      <c r="N21" s="30">
        <f>O21+P21+Q21</f>
        <v>0</v>
      </c>
      <c r="O21" s="30">
        <f>VLOOKUP(4,AB17:AL20,3,FALSE)</f>
        <v>0</v>
      </c>
      <c r="P21" s="30">
        <f>VLOOKUP(4,AB17:AL20,4,FALSE)</f>
        <v>0</v>
      </c>
      <c r="Q21" s="30">
        <f>VLOOKUP(4,AB17:AL20,5,FALSE)</f>
        <v>0</v>
      </c>
      <c r="R21" s="30" t="str">
        <f>VLOOKUP(4,AB17:AL20,6,FALSE) &amp; " - " &amp; VLOOKUP(4,AB17:AL20,7,FALSE)</f>
        <v>0 - 0</v>
      </c>
      <c r="S21" s="31">
        <f>O21*3+P21</f>
        <v>0</v>
      </c>
      <c r="U21" s="227">
        <f>DATE(2015,1,10)+TIME(20,0,0)+gmt_delta</f>
        <v>42015.5</v>
      </c>
      <c r="V21" s="58" t="str">
        <f t="shared" si="4"/>
        <v/>
      </c>
      <c r="W21" s="58" t="str">
        <f t="shared" si="5"/>
        <v/>
      </c>
      <c r="X21" s="53">
        <f t="shared" si="2"/>
        <v>0</v>
      </c>
      <c r="Y21" s="52">
        <f t="shared" si="6"/>
        <v>0</v>
      </c>
      <c r="Z21" s="52">
        <f t="shared" si="7"/>
        <v>0</v>
      </c>
      <c r="AD21" s="52">
        <f t="shared" ref="AD21:AM21" si="8">MAX(AD17:AD20)-MIN(AD17:AD20)+1</f>
        <v>1</v>
      </c>
      <c r="AE21" s="52">
        <f t="shared" si="8"/>
        <v>1</v>
      </c>
      <c r="AF21" s="52">
        <f t="shared" si="8"/>
        <v>1</v>
      </c>
      <c r="AG21" s="52">
        <f t="shared" si="8"/>
        <v>1</v>
      </c>
      <c r="AH21" s="52">
        <f t="shared" si="8"/>
        <v>1</v>
      </c>
      <c r="AI21" s="52">
        <f>MAX(AI17:AI20)-AI22+1</f>
        <v>1</v>
      </c>
      <c r="AJ21" s="52">
        <f>MAX(AJ17:AJ20)-AJ22+1</f>
        <v>1</v>
      </c>
      <c r="AL21" s="52">
        <f t="shared" si="8"/>
        <v>1</v>
      </c>
      <c r="AM21" s="52">
        <f t="shared" si="8"/>
        <v>1</v>
      </c>
      <c r="AQ21" s="52">
        <f>MAX(AQ17:AQ20)-MIN(AQ17:AQ20)+1</f>
        <v>1</v>
      </c>
      <c r="AR21" s="52">
        <f>MAX(AR17:AR20)-MIN(AR17:AR20)+1</f>
        <v>1</v>
      </c>
      <c r="AS21" s="52">
        <f>MAX(AS17:AS20)-MIN(AS17:AS20)+1</f>
        <v>1</v>
      </c>
      <c r="AT21" s="52">
        <f>MAX(AT17:AT20)-MIN(AT17:AT20)+1</f>
        <v>1</v>
      </c>
      <c r="AU21" s="52">
        <f>MAX(AU17:AU20)-MIN(AU17:AU20)+1</f>
        <v>1</v>
      </c>
      <c r="AW21" s="53" t="str">
        <f>INDEX(T,42,lang)</f>
        <v>Ўзбекистон</v>
      </c>
      <c r="AX21" s="57">
        <v>1996</v>
      </c>
    </row>
    <row r="22" spans="1:51" ht="16.5" customHeight="1" x14ac:dyDescent="0.2">
      <c r="A22" s="128">
        <v>7</v>
      </c>
      <c r="B22" s="72" t="str">
        <f t="shared" si="0"/>
        <v>Душ</v>
      </c>
      <c r="C22" s="73" t="str">
        <f t="shared" si="1"/>
        <v>Янв 12, 2015</v>
      </c>
      <c r="D22" s="74">
        <f t="shared" si="3"/>
        <v>0.5</v>
      </c>
      <c r="E22" s="102" t="str">
        <f>AC35</f>
        <v>Япония</v>
      </c>
      <c r="F22" s="142"/>
      <c r="G22" s="143"/>
      <c r="H22" s="101" t="str">
        <f>AC38</f>
        <v>Фаластин</v>
      </c>
      <c r="I22" s="278" t="str">
        <f>INDEX(T,107,lang)</f>
        <v>Ньюкасл</v>
      </c>
      <c r="J22" s="279"/>
      <c r="K22" s="280"/>
      <c r="M22" s="32"/>
      <c r="N22" s="33"/>
      <c r="O22" s="33"/>
      <c r="P22" s="33"/>
      <c r="Q22" s="33"/>
      <c r="R22" s="33"/>
      <c r="S22" s="33"/>
      <c r="U22" s="52">
        <f>DATE(2015,1,11)+TIME(20,0,0)+gmt_delta</f>
        <v>42016.5</v>
      </c>
      <c r="V22" s="58" t="str">
        <f t="shared" si="4"/>
        <v/>
      </c>
      <c r="W22" s="58" t="str">
        <f t="shared" si="5"/>
        <v/>
      </c>
      <c r="X22" s="53">
        <f t="shared" si="2"/>
        <v>0</v>
      </c>
      <c r="Y22" s="52">
        <f t="shared" si="6"/>
        <v>0</v>
      </c>
      <c r="Z22" s="52">
        <f t="shared" si="7"/>
        <v>0</v>
      </c>
      <c r="AI22" s="52">
        <f>MIN(AI17:AI20)</f>
        <v>0</v>
      </c>
      <c r="AJ22" s="52">
        <f>MIN(AJ17:AJ20)</f>
        <v>0</v>
      </c>
      <c r="AW22" s="53" t="str">
        <f>INDEX(T,43,lang)</f>
        <v>С.Арабистони</v>
      </c>
      <c r="AX22" s="57">
        <v>1995</v>
      </c>
    </row>
    <row r="23" spans="1:51" ht="16.5" customHeight="1" x14ac:dyDescent="0.2">
      <c r="A23" s="128">
        <v>8</v>
      </c>
      <c r="B23" s="72" t="str">
        <f t="shared" si="0"/>
        <v>Душ</v>
      </c>
      <c r="C23" s="73" t="str">
        <f t="shared" si="1"/>
        <v>Янв 12, 2015</v>
      </c>
      <c r="D23" s="74">
        <f t="shared" si="3"/>
        <v>0.58333333333333337</v>
      </c>
      <c r="E23" s="102" t="str">
        <f>AC36</f>
        <v>Иордания</v>
      </c>
      <c r="F23" s="142"/>
      <c r="G23" s="143"/>
      <c r="H23" s="101" t="str">
        <f>AC37</f>
        <v>Ироқ</v>
      </c>
      <c r="I23" s="278" t="str">
        <f>INDEX(T,106,lang)</f>
        <v>Брисбен</v>
      </c>
      <c r="J23" s="279"/>
      <c r="K23" s="280"/>
      <c r="M23" s="46" t="str">
        <f>INDEX(T,9,lang) &amp; " " &amp; "B"</f>
        <v>Гуруҳ B</v>
      </c>
      <c r="N23" s="47" t="str">
        <f>INDEX(T,10,lang)</f>
        <v>Ў</v>
      </c>
      <c r="O23" s="47" t="str">
        <f>INDEX(T,11,lang)</f>
        <v>Ю</v>
      </c>
      <c r="P23" s="47" t="str">
        <f>INDEX(T,12,lang)</f>
        <v>Д</v>
      </c>
      <c r="Q23" s="47" t="str">
        <f>INDEX(T,13,lang)</f>
        <v>М</v>
      </c>
      <c r="R23" s="47" t="str">
        <f>INDEX(T,14,lang)</f>
        <v>Тўп. нисб.</v>
      </c>
      <c r="S23" s="157" t="str">
        <f>INDEX(T,15,lang)</f>
        <v>Очколар</v>
      </c>
      <c r="U23" s="52">
        <f>DATE(2015,1,11)+TIME(22,0,0)+gmt_delta</f>
        <v>42016.583333333328</v>
      </c>
      <c r="V23" s="58" t="str">
        <f t="shared" si="4"/>
        <v/>
      </c>
      <c r="W23" s="58" t="str">
        <f t="shared" si="5"/>
        <v/>
      </c>
      <c r="X23" s="53">
        <f t="shared" si="2"/>
        <v>0</v>
      </c>
      <c r="Y23" s="52">
        <f t="shared" si="6"/>
        <v>0</v>
      </c>
      <c r="Z23" s="52">
        <f t="shared" si="7"/>
        <v>0</v>
      </c>
      <c r="AB23" s="52">
        <f>COUNTIF(AO23:AO26,CONCATENATE("&gt;=",AO23))</f>
        <v>1</v>
      </c>
      <c r="AC23" s="53" t="str">
        <f>INDEX(T,42,lang)</f>
        <v>Ўзбекистон</v>
      </c>
      <c r="AD23" s="52">
        <f>COUNTIF($V$16:$W$39,"=" &amp; AC23 &amp; "_win")</f>
        <v>0</v>
      </c>
      <c r="AE23" s="52">
        <f>COUNTIF($V$16:$W$39,"=" &amp; AC23 &amp; "_draw")</f>
        <v>0</v>
      </c>
      <c r="AF23" s="52">
        <f>COUNTIF($V$16:$W$39,"=" &amp; AC23 &amp; "_lose")</f>
        <v>0</v>
      </c>
      <c r="AG23" s="52">
        <f>SUMIF($E$16:$E$39,$AC23,$F$16:$F$39) + SUMIF($H$16:$H$39,$AC23,$G$16:$G$39)</f>
        <v>0</v>
      </c>
      <c r="AH23" s="52">
        <f>SUMIF($E$16:$E$39,$AC23,$G$16:$G$39) + SUMIF($H$16:$H$39,$AC23,$F$16:$F$39)</f>
        <v>0</v>
      </c>
      <c r="AI23" s="52">
        <f>AL23</f>
        <v>0</v>
      </c>
      <c r="AJ23" s="52">
        <f>AG23-AH23</f>
        <v>0</v>
      </c>
      <c r="AK23" s="52">
        <f>(AJ23-AJ28)/AJ27</f>
        <v>0</v>
      </c>
      <c r="AL23" s="52">
        <f>AD23*3+AE23</f>
        <v>0</v>
      </c>
      <c r="AM23" s="52">
        <f>AQ23/AQ27*1000+AR23/AR27*100+AU23/AU27*10+AS23/AS27</f>
        <v>0</v>
      </c>
      <c r="AN23" s="52">
        <f>VLOOKUP(AC23,cards_B_group,2,FALSE)/2000000</f>
        <v>5.0000000000000001E-4</v>
      </c>
      <c r="AO23" s="53">
        <f>1000*AL23/AL27+10*AK23+1*AG23/AG27+100*AM23/AM27+AN23+AY23</f>
        <v>5.00998E-4</v>
      </c>
      <c r="AP23" s="54" t="str">
        <f>IF(SUM(AD23:AF26)=12,M24,INDEX(T,72,lang))</f>
        <v>1B</v>
      </c>
      <c r="AQ23" s="55">
        <f>SUMPRODUCT(($V$16:$V$39=AC23&amp;"_win")*($X$16:$X$39))+SUMPRODUCT(($W$16:$W$39=AC23&amp;"_win")*($X$16:$X$39))</f>
        <v>0</v>
      </c>
      <c r="AR23" s="56">
        <f>SUMPRODUCT(($V$16:$V$39=AC23&amp;"_draw")*($X$16:$X$39))+SUMPRODUCT(($W$16:$W$39=AC23&amp;"_draw")*($X$16:$X$39))</f>
        <v>0</v>
      </c>
      <c r="AS23" s="56">
        <f>SUMPRODUCT(($E$16:$E$39=AC23)*($X$16:$X$39)*($F$16:$F$39))+SUMPRODUCT(($H$16:$H$39=AC23)*($X$16:$X$39)*($G$16:$G$39))</f>
        <v>0</v>
      </c>
      <c r="AT23" s="56">
        <f>SUMPRODUCT(($E$16:$E$39=AC23)*($X$16:$X$39)*($G$16:$G$39))+SUMPRODUCT(($H$16:$H$39=AC23)*($X$16:$X$39)*($F$16:$F$39))</f>
        <v>0</v>
      </c>
      <c r="AU23" s="56">
        <f>AS23-AT23</f>
        <v>0</v>
      </c>
      <c r="AW23" s="53" t="str">
        <f>INDEX(T,44,lang)</f>
        <v>Хитой</v>
      </c>
      <c r="AX23" s="57">
        <v>1994</v>
      </c>
      <c r="AY23" s="52">
        <f>VLOOKUP(AC23,db_fifarank,2,FALSE)/2000000000</f>
        <v>9.9800000000000002E-7</v>
      </c>
    </row>
    <row r="24" spans="1:51" ht="16.5" customHeight="1" x14ac:dyDescent="0.2">
      <c r="A24" s="128">
        <v>9</v>
      </c>
      <c r="B24" s="72" t="str">
        <f t="shared" si="0"/>
        <v>Сеш</v>
      </c>
      <c r="C24" s="73" t="str">
        <f t="shared" si="1"/>
        <v>Янв 13, 2015</v>
      </c>
      <c r="D24" s="74">
        <f t="shared" si="3"/>
        <v>0.5</v>
      </c>
      <c r="E24" s="102" t="str">
        <f>AC18</f>
        <v>Жанубий Корея</v>
      </c>
      <c r="F24" s="142"/>
      <c r="G24" s="143"/>
      <c r="H24" s="101" t="str">
        <f>AC20</f>
        <v>Кувайт</v>
      </c>
      <c r="I24" s="278" t="str">
        <f>INDEX(T,104,lang)</f>
        <v>Канберра</v>
      </c>
      <c r="J24" s="279"/>
      <c r="K24" s="280"/>
      <c r="M24" s="21" t="str">
        <f>VLOOKUP(1,AB23:AL26,2,FALSE)</f>
        <v>Ўзбекистон</v>
      </c>
      <c r="N24" s="26">
        <f>O24+P24+Q24</f>
        <v>0</v>
      </c>
      <c r="O24" s="26">
        <f>VLOOKUP(1,AB23:AL26,3,FALSE)</f>
        <v>0</v>
      </c>
      <c r="P24" s="26">
        <f>VLOOKUP(1,AB23:AL26,4,FALSE)</f>
        <v>0</v>
      </c>
      <c r="Q24" s="26">
        <f>VLOOKUP(1,AB23:AL26,5,FALSE)</f>
        <v>0</v>
      </c>
      <c r="R24" s="26" t="str">
        <f>VLOOKUP(1,AB23:AL26,6,FALSE) &amp; " - " &amp; VLOOKUP(1,AB23:AL26,7,FALSE)</f>
        <v>0 - 0</v>
      </c>
      <c r="S24" s="27">
        <f>O24*3+P24</f>
        <v>0</v>
      </c>
      <c r="U24" s="52">
        <f>DATE(2015,1,12)+TIME(20,0,0)+gmt_delta</f>
        <v>42017.5</v>
      </c>
      <c r="V24" s="58" t="str">
        <f t="shared" si="4"/>
        <v/>
      </c>
      <c r="W24" s="58" t="str">
        <f t="shared" si="5"/>
        <v/>
      </c>
      <c r="X24" s="53">
        <f t="shared" si="2"/>
        <v>0</v>
      </c>
      <c r="Y24" s="52">
        <f t="shared" si="6"/>
        <v>0</v>
      </c>
      <c r="Z24" s="52">
        <f t="shared" si="7"/>
        <v>0</v>
      </c>
      <c r="AB24" s="52">
        <f>COUNTIF(AO23:AO26,CONCATENATE("&gt;=",AO24))</f>
        <v>2</v>
      </c>
      <c r="AC24" s="53" t="str">
        <f>INDEX(T,43,lang)</f>
        <v>С.Арабистони</v>
      </c>
      <c r="AD24" s="52">
        <f>COUNTIF($V$16:$W$39,"=" &amp; AC24 &amp; "_win")</f>
        <v>0</v>
      </c>
      <c r="AE24" s="52">
        <f>COUNTIF($V$16:$W$39,"=" &amp; AC24 &amp; "_draw")</f>
        <v>0</v>
      </c>
      <c r="AF24" s="52">
        <f>COUNTIF($V$16:$W$39,"=" &amp; AC24 &amp; "_lose")</f>
        <v>0</v>
      </c>
      <c r="AG24" s="52">
        <f>SUMIF($E$16:$E$39,$AC24,$F$16:$F$39) + SUMIF($H$16:$H$39,$AC24,$G$16:$G$39)</f>
        <v>0</v>
      </c>
      <c r="AH24" s="52">
        <f>SUMIF($E$16:$E$39,$AC24,$G$16:$G$39) + SUMIF($H$16:$H$39,$AC24,$F$16:$F$39)</f>
        <v>0</v>
      </c>
      <c r="AI24" s="52">
        <f t="shared" ref="AI24:AI26" si="9">AL24</f>
        <v>0</v>
      </c>
      <c r="AJ24" s="52">
        <f>AG24-AH24</f>
        <v>0</v>
      </c>
      <c r="AK24" s="52">
        <f>(AJ24-AJ28)/AJ27</f>
        <v>0</v>
      </c>
      <c r="AL24" s="52">
        <f>AD24*3+AE24</f>
        <v>0</v>
      </c>
      <c r="AM24" s="52">
        <f>AQ24/AQ27*1000+AR24/AR27*100+AU24/AU27*10+AS24/AS27</f>
        <v>0</v>
      </c>
      <c r="AN24" s="52">
        <f>VLOOKUP(AC24,cards_B_group,2,FALSE)/2000000</f>
        <v>5.0000000000000001E-4</v>
      </c>
      <c r="AO24" s="53">
        <f>1000*AL24/AL27+10*AK24+1*AG24/AG27+100*AM24/AM27+AN24+AY24</f>
        <v>5.0099750000000005E-4</v>
      </c>
      <c r="AP24" s="54" t="str">
        <f>IF(SUM(AD23:AF26)=12,M25,INDEX(T,73,lang))</f>
        <v>2B</v>
      </c>
      <c r="AQ24" s="55">
        <f>SUMPRODUCT(($V$16:$V$39=AC24&amp;"_win")*($X$16:$X$39))+SUMPRODUCT(($W$16:$W$39=AC24&amp;"_win")*($X$16:$X$39))</f>
        <v>0</v>
      </c>
      <c r="AR24" s="56">
        <f>SUMPRODUCT(($V$16:$V$39=AC24&amp;"_draw")*($X$16:$X$39))+SUMPRODUCT(($W$16:$W$39=AC24&amp;"_draw")*($X$16:$X$39))</f>
        <v>0</v>
      </c>
      <c r="AS24" s="56">
        <f>SUMPRODUCT(($E$16:$E$39=AC24)*($X$16:$X$39)*($F$16:$F$39))+SUMPRODUCT(($H$16:$H$39=AC24)*($X$16:$X$39)*($G$16:$G$39))</f>
        <v>0</v>
      </c>
      <c r="AT24" s="56">
        <f>SUMPRODUCT(($E$16:$E$39=AC24)*($X$16:$X$39)*($G$16:$G$39))+SUMPRODUCT(($H$16:$H$39=AC24)*($X$16:$X$39)*($F$16:$F$39))</f>
        <v>0</v>
      </c>
      <c r="AU24" s="56">
        <f>AS24-AT24</f>
        <v>0</v>
      </c>
      <c r="AW24" s="53" t="str">
        <f>INDEX(T,45,lang)</f>
        <v>Шимолий Корея</v>
      </c>
      <c r="AX24" s="57">
        <v>1993</v>
      </c>
      <c r="AY24" s="52">
        <f>VLOOKUP(AC24,db_fifarank,2,FALSE)/2000000000</f>
        <v>9.9749999999999998E-7</v>
      </c>
    </row>
    <row r="25" spans="1:51" ht="16.5" customHeight="1" x14ac:dyDescent="0.2">
      <c r="A25" s="128">
        <v>10</v>
      </c>
      <c r="B25" s="72" t="str">
        <f t="shared" si="0"/>
        <v>Сеш</v>
      </c>
      <c r="C25" s="73" t="str">
        <f t="shared" si="1"/>
        <v>Янв 13, 2015</v>
      </c>
      <c r="D25" s="74">
        <f t="shared" si="3"/>
        <v>0.58333333333333337</v>
      </c>
      <c r="E25" s="102" t="str">
        <f>AC19</f>
        <v>Уммон</v>
      </c>
      <c r="F25" s="142"/>
      <c r="G25" s="143"/>
      <c r="H25" s="101" t="str">
        <f>AC17</f>
        <v>Австралия</v>
      </c>
      <c r="I25" s="278" t="str">
        <f>INDEX(T,105,lang)</f>
        <v>Сидней</v>
      </c>
      <c r="J25" s="279"/>
      <c r="K25" s="280"/>
      <c r="M25" s="22" t="str">
        <f>VLOOKUP(2,AB23:AL26,2,FALSE)</f>
        <v>С.Арабистони</v>
      </c>
      <c r="N25" s="28">
        <f>O25+P25+Q25</f>
        <v>0</v>
      </c>
      <c r="O25" s="28">
        <f>VLOOKUP(2,AB23:AL26,3,FALSE)</f>
        <v>0</v>
      </c>
      <c r="P25" s="28">
        <f>VLOOKUP(2,AB23:AL26,4,FALSE)</f>
        <v>0</v>
      </c>
      <c r="Q25" s="28">
        <f>VLOOKUP(2,AB23:AL26,5,FALSE)</f>
        <v>0</v>
      </c>
      <c r="R25" s="28" t="str">
        <f>VLOOKUP(2,AB23:AL26,6,FALSE) &amp; " - " &amp; VLOOKUP(2,AB23:AL26,7,FALSE)</f>
        <v>0 - 0</v>
      </c>
      <c r="S25" s="29">
        <f>O25*3+P25</f>
        <v>0</v>
      </c>
      <c r="U25" s="52">
        <f>DATE(2015,1,12)+TIME(22,0,0)+gmt_delta</f>
        <v>42017.583333333328</v>
      </c>
      <c r="V25" s="58" t="str">
        <f t="shared" si="4"/>
        <v/>
      </c>
      <c r="W25" s="58" t="str">
        <f t="shared" si="5"/>
        <v/>
      </c>
      <c r="X25" s="53">
        <f t="shared" si="2"/>
        <v>0</v>
      </c>
      <c r="Y25" s="52">
        <f t="shared" si="6"/>
        <v>0</v>
      </c>
      <c r="Z25" s="52">
        <f t="shared" si="7"/>
        <v>0</v>
      </c>
      <c r="AB25" s="52">
        <f>COUNTIF(AO23:AO26,CONCATENATE("&gt;=",AO25))</f>
        <v>3</v>
      </c>
      <c r="AC25" s="53" t="str">
        <f>INDEX(T,44,lang)</f>
        <v>Хитой</v>
      </c>
      <c r="AD25" s="52">
        <f>COUNTIF($V$16:$W$39,"=" &amp; AC25 &amp; "_win")</f>
        <v>0</v>
      </c>
      <c r="AE25" s="52">
        <f>COUNTIF($V$16:$W$39,"=" &amp; AC25 &amp; "_draw")</f>
        <v>0</v>
      </c>
      <c r="AF25" s="52">
        <f>COUNTIF($V$16:$W$39,"=" &amp; AC25 &amp; "_lose")</f>
        <v>0</v>
      </c>
      <c r="AG25" s="52">
        <f>SUMIF($E$16:$E$39,$AC25,$F$16:$F$39) + SUMIF($H$16:$H$39,$AC25,$G$16:$G$39)</f>
        <v>0</v>
      </c>
      <c r="AH25" s="52">
        <f>SUMIF($E$16:$E$39,$AC25,$G$16:$G$39) + SUMIF($H$16:$H$39,$AC25,$F$16:$F$39)</f>
        <v>0</v>
      </c>
      <c r="AI25" s="52">
        <f t="shared" si="9"/>
        <v>0</v>
      </c>
      <c r="AJ25" s="52">
        <f>AG25-AH25</f>
        <v>0</v>
      </c>
      <c r="AK25" s="52">
        <f>(AJ25-AJ28)/AJ27</f>
        <v>0</v>
      </c>
      <c r="AL25" s="52">
        <f>AD25*3+AE25</f>
        <v>0</v>
      </c>
      <c r="AM25" s="52">
        <f>AQ25/AQ27*1000+AR25/AR27*100+AU25/AU27*10+AS25/AS27</f>
        <v>0</v>
      </c>
      <c r="AN25" s="52">
        <f>VLOOKUP(AC25,cards_B_group,2,FALSE)/2000000</f>
        <v>5.0000000000000001E-4</v>
      </c>
      <c r="AO25" s="53">
        <f>1000*AL25/AL27+10*AK25+1*AG25/AG27+100*AM25/AM27+AN25+AY25</f>
        <v>5.0099699999999999E-4</v>
      </c>
      <c r="AQ25" s="55">
        <f>SUMPRODUCT(($V$16:$V$39=AC25&amp;"_win")*($X$16:$X$39))+SUMPRODUCT(($W$16:$W$39=AC25&amp;"_win")*($X$16:$X$39))</f>
        <v>0</v>
      </c>
      <c r="AR25" s="56">
        <f>SUMPRODUCT(($V$16:$V$39=AC25&amp;"_draw")*($X$16:$X$39))+SUMPRODUCT(($W$16:$W$39=AC25&amp;"_draw")*($X$16:$X$39))</f>
        <v>0</v>
      </c>
      <c r="AS25" s="56">
        <f>SUMPRODUCT(($E$16:$E$39=AC25)*($X$16:$X$39)*($F$16:$F$39))+SUMPRODUCT(($H$16:$H$39=AC25)*($X$16:$X$39)*($G$16:$G$39))</f>
        <v>0</v>
      </c>
      <c r="AT25" s="56">
        <f>SUMPRODUCT(($E$16:$E$39=AC25)*($X$16:$X$39)*($G$16:$G$39))+SUMPRODUCT(($H$16:$H$39=AC25)*($X$16:$X$39)*($F$16:$F$39))</f>
        <v>0</v>
      </c>
      <c r="AU25" s="56">
        <f>AS25-AT25</f>
        <v>0</v>
      </c>
      <c r="AW25" s="53" t="str">
        <f>INDEX(T,46,lang)</f>
        <v>Эрон</v>
      </c>
      <c r="AX25" s="57">
        <v>1992</v>
      </c>
      <c r="AY25" s="52">
        <f>VLOOKUP(AC25,db_fifarank,2,FALSE)/2000000000</f>
        <v>9.9699999999999994E-7</v>
      </c>
    </row>
    <row r="26" spans="1:51" ht="16.5" customHeight="1" x14ac:dyDescent="0.2">
      <c r="A26" s="128">
        <v>11</v>
      </c>
      <c r="B26" s="72" t="str">
        <f t="shared" si="0"/>
        <v>Чор</v>
      </c>
      <c r="C26" s="73" t="str">
        <f t="shared" si="1"/>
        <v>Янв 14, 2015</v>
      </c>
      <c r="D26" s="74">
        <f t="shared" si="3"/>
        <v>0.5</v>
      </c>
      <c r="E26" s="102" t="str">
        <f>AC26</f>
        <v>Шимолий Корея</v>
      </c>
      <c r="F26" s="142"/>
      <c r="G26" s="143"/>
      <c r="H26" s="101" t="str">
        <f>AC24</f>
        <v>С.Арабистони</v>
      </c>
      <c r="I26" s="278" t="str">
        <f>INDEX(T,103,lang)</f>
        <v>Мельбурн</v>
      </c>
      <c r="J26" s="279"/>
      <c r="K26" s="280"/>
      <c r="M26" s="22" t="str">
        <f>VLOOKUP(3,AB23:AL26,2,FALSE)</f>
        <v>Хитой</v>
      </c>
      <c r="N26" s="28">
        <f>O26+P26+Q26</f>
        <v>0</v>
      </c>
      <c r="O26" s="28">
        <f>VLOOKUP(3,AB23:AL26,3,FALSE)</f>
        <v>0</v>
      </c>
      <c r="P26" s="28">
        <f>VLOOKUP(3,AB23:AL26,4,FALSE)</f>
        <v>0</v>
      </c>
      <c r="Q26" s="28">
        <f>VLOOKUP(3,AB23:AL26,5,FALSE)</f>
        <v>0</v>
      </c>
      <c r="R26" s="28" t="str">
        <f>VLOOKUP(3,AB23:AL26,6,FALSE) &amp; " - " &amp; VLOOKUP(3,AB23:AL26,7,FALSE)</f>
        <v>0 - 0</v>
      </c>
      <c r="S26" s="29">
        <f>O26*3+P26</f>
        <v>0</v>
      </c>
      <c r="U26" s="52">
        <f>DATE(2015,1,13)+TIME(20,0,0)+gmt_delta</f>
        <v>42018.5</v>
      </c>
      <c r="V26" s="58" t="str">
        <f t="shared" si="4"/>
        <v/>
      </c>
      <c r="W26" s="58" t="str">
        <f t="shared" si="5"/>
        <v/>
      </c>
      <c r="X26" s="53">
        <f t="shared" si="2"/>
        <v>0</v>
      </c>
      <c r="Y26" s="52">
        <f t="shared" si="6"/>
        <v>0</v>
      </c>
      <c r="Z26" s="52">
        <f t="shared" si="7"/>
        <v>0</v>
      </c>
      <c r="AB26" s="52">
        <f>COUNTIF(AO23:AO26,CONCATENATE("&gt;=",AO26))</f>
        <v>4</v>
      </c>
      <c r="AC26" s="53" t="str">
        <f>INDEX(T,45,lang)</f>
        <v>Шимолий Корея</v>
      </c>
      <c r="AD26" s="52">
        <f>COUNTIF($V$16:$W$39,"=" &amp; AC26 &amp; "_win")</f>
        <v>0</v>
      </c>
      <c r="AE26" s="52">
        <f>COUNTIF($V$16:$W$39,"=" &amp; AC26 &amp; "_draw")</f>
        <v>0</v>
      </c>
      <c r="AF26" s="52">
        <f>COUNTIF($V$16:$W$39,"=" &amp; AC26 &amp; "_lose")</f>
        <v>0</v>
      </c>
      <c r="AG26" s="52">
        <f>SUMIF($E$16:$E$39,$AC26,$F$16:$F$39) + SUMIF($H$16:$H$39,$AC26,$G$16:$G$39)</f>
        <v>0</v>
      </c>
      <c r="AH26" s="52">
        <f>SUMIF($E$16:$E$39,$AC26,$G$16:$G$39) + SUMIF($H$16:$H$39,$AC26,$F$16:$F$39)</f>
        <v>0</v>
      </c>
      <c r="AI26" s="52">
        <f t="shared" si="9"/>
        <v>0</v>
      </c>
      <c r="AJ26" s="52">
        <f>AG26-AH26</f>
        <v>0</v>
      </c>
      <c r="AK26" s="52">
        <f>(AJ26-AJ28)/AJ27</f>
        <v>0</v>
      </c>
      <c r="AL26" s="52">
        <f>AD26*3+AE26</f>
        <v>0</v>
      </c>
      <c r="AM26" s="52">
        <f>AQ26/AQ27*1000+AR26/AR27*100+AU26/AU27*10+AS26/AS27</f>
        <v>0</v>
      </c>
      <c r="AN26" s="52">
        <f>VLOOKUP(AC26,cards_B_group,2,FALSE)/2000000</f>
        <v>5.0000000000000001E-4</v>
      </c>
      <c r="AO26" s="53">
        <f>1000*AL26/AL27+10*AK26+1*AG26/AG27+100*AM26/AM27+AN26+AY26</f>
        <v>5.0099650000000003E-4</v>
      </c>
      <c r="AQ26" s="55">
        <f>SUMPRODUCT(($V$16:$V$39=AC26&amp;"_win")*($X$16:$X$39))+SUMPRODUCT(($W$16:$W$39=AC26&amp;"_win")*($X$16:$X$39))</f>
        <v>0</v>
      </c>
      <c r="AR26" s="56">
        <f>SUMPRODUCT(($V$16:$V$39=AC26&amp;"_draw")*($X$16:$X$39))+SUMPRODUCT(($W$16:$W$39=AC26&amp;"_draw")*($X$16:$X$39))</f>
        <v>0</v>
      </c>
      <c r="AS26" s="56">
        <f>SUMPRODUCT(($E$16:$E$39=AC26)*($X$16:$X$39)*($F$16:$F$39))+SUMPRODUCT(($H$16:$H$39=AC26)*($X$16:$X$39)*($G$16:$G$39))</f>
        <v>0</v>
      </c>
      <c r="AT26" s="56">
        <f>SUMPRODUCT(($E$16:$E$39=AC26)*($X$16:$X$39)*($G$16:$G$39))+SUMPRODUCT(($H$16:$H$39=AC26)*($X$16:$X$39)*($F$16:$F$39))</f>
        <v>0</v>
      </c>
      <c r="AU26" s="56">
        <f>AS26-AT26</f>
        <v>0</v>
      </c>
      <c r="AW26" s="53" t="str">
        <f>INDEX(T,47,lang)</f>
        <v>БАА</v>
      </c>
      <c r="AX26" s="57">
        <v>1991</v>
      </c>
      <c r="AY26" s="52">
        <f>VLOOKUP(AC26,db_fifarank,2,FALSE)/2000000000</f>
        <v>9.964999999999999E-7</v>
      </c>
    </row>
    <row r="27" spans="1:51" ht="16.5" customHeight="1" x14ac:dyDescent="0.2">
      <c r="A27" s="210">
        <v>12</v>
      </c>
      <c r="B27" s="211" t="str">
        <f t="shared" si="0"/>
        <v>Чор</v>
      </c>
      <c r="C27" s="212" t="str">
        <f t="shared" si="1"/>
        <v>Янв 14, 2015</v>
      </c>
      <c r="D27" s="213">
        <f t="shared" si="3"/>
        <v>0.58333333333333337</v>
      </c>
      <c r="E27" s="214" t="str">
        <f>AC25</f>
        <v>Хитой</v>
      </c>
      <c r="F27" s="215"/>
      <c r="G27" s="216"/>
      <c r="H27" s="217" t="str">
        <f>AC23</f>
        <v>Ўзбекистон</v>
      </c>
      <c r="I27" s="281" t="str">
        <f>INDEX(T,106,lang)</f>
        <v>Брисбен</v>
      </c>
      <c r="J27" s="282"/>
      <c r="K27" s="283"/>
      <c r="M27" s="23" t="str">
        <f>VLOOKUP(4,AB23:AL26,2,FALSE)</f>
        <v>Шимолий Корея</v>
      </c>
      <c r="N27" s="30">
        <f>O27+P27+Q27</f>
        <v>0</v>
      </c>
      <c r="O27" s="30">
        <f>VLOOKUP(4,AB23:AL26,3,FALSE)</f>
        <v>0</v>
      </c>
      <c r="P27" s="30">
        <f>VLOOKUP(4,AB23:AL26,4,FALSE)</f>
        <v>0</v>
      </c>
      <c r="Q27" s="30">
        <f>VLOOKUP(4,AB23:AL26,5,FALSE)</f>
        <v>0</v>
      </c>
      <c r="R27" s="30" t="str">
        <f>VLOOKUP(4,AB23:AL26,6,FALSE) &amp; " - " &amp; VLOOKUP(4,AB23:AL26,7,FALSE)</f>
        <v>0 - 0</v>
      </c>
      <c r="S27" s="31">
        <f>O27*3+P27</f>
        <v>0</v>
      </c>
      <c r="U27" s="52">
        <f>DATE(2015,1,13)+TIME(22,0,0)+gmt_delta</f>
        <v>42018.583333333328</v>
      </c>
      <c r="V27" s="58" t="str">
        <f t="shared" si="4"/>
        <v/>
      </c>
      <c r="W27" s="58" t="str">
        <f t="shared" si="5"/>
        <v/>
      </c>
      <c r="X27" s="53">
        <f t="shared" si="2"/>
        <v>0</v>
      </c>
      <c r="Y27" s="52">
        <f t="shared" si="6"/>
        <v>0</v>
      </c>
      <c r="Z27" s="52">
        <f t="shared" si="7"/>
        <v>0</v>
      </c>
      <c r="AD27" s="52">
        <f t="shared" ref="AD27:AM27" si="10">MAX(AD23:AD26)-MIN(AD23:AD26)+1</f>
        <v>1</v>
      </c>
      <c r="AE27" s="52">
        <f t="shared" si="10"/>
        <v>1</v>
      </c>
      <c r="AF27" s="52">
        <f t="shared" si="10"/>
        <v>1</v>
      </c>
      <c r="AG27" s="52">
        <f t="shared" si="10"/>
        <v>1</v>
      </c>
      <c r="AH27" s="52">
        <f t="shared" si="10"/>
        <v>1</v>
      </c>
      <c r="AI27" s="52">
        <f>MAX(AI23:AI26)-AI28+1</f>
        <v>1</v>
      </c>
      <c r="AJ27" s="52">
        <f>MAX(AJ23:AJ26)-AJ28+1</f>
        <v>1</v>
      </c>
      <c r="AL27" s="52">
        <f t="shared" si="10"/>
        <v>1</v>
      </c>
      <c r="AM27" s="52">
        <f t="shared" si="10"/>
        <v>1</v>
      </c>
      <c r="AQ27" s="52">
        <f>MAX(AQ23:AQ26)-MIN(AQ23:AQ26)+1</f>
        <v>1</v>
      </c>
      <c r="AR27" s="52">
        <f>MAX(AR23:AR26)-MIN(AR23:AR26)+1</f>
        <v>1</v>
      </c>
      <c r="AS27" s="52">
        <f>MAX(AS23:AS26)-MIN(AS23:AS26)+1</f>
        <v>1</v>
      </c>
      <c r="AT27" s="52">
        <f>MAX(AT23:AT26)-MIN(AT23:AT26)+1</f>
        <v>1</v>
      </c>
      <c r="AU27" s="52">
        <f>MAX(AU23:AU26)-MIN(AU23:AU26)+1</f>
        <v>1</v>
      </c>
      <c r="AW27" s="53" t="str">
        <f>INDEX(T,48,lang)</f>
        <v>Қатар</v>
      </c>
      <c r="AX27" s="57">
        <v>1990</v>
      </c>
    </row>
    <row r="28" spans="1:51" ht="16.5" customHeight="1" x14ac:dyDescent="0.2">
      <c r="A28" s="128">
        <v>13</v>
      </c>
      <c r="B28" s="72" t="str">
        <f t="shared" si="0"/>
        <v>Пай</v>
      </c>
      <c r="C28" s="73" t="str">
        <f t="shared" si="1"/>
        <v>Янв 15, 2015</v>
      </c>
      <c r="D28" s="74">
        <f t="shared" si="3"/>
        <v>0.5</v>
      </c>
      <c r="E28" s="102" t="str">
        <f>AC32</f>
        <v>Баҳрайн</v>
      </c>
      <c r="F28" s="142"/>
      <c r="G28" s="143"/>
      <c r="H28" s="101" t="str">
        <f>AC30</f>
        <v>БАА</v>
      </c>
      <c r="I28" s="278" t="str">
        <f>INDEX(T,104,lang)</f>
        <v>Канберра</v>
      </c>
      <c r="J28" s="279"/>
      <c r="K28" s="280"/>
      <c r="M28" s="32"/>
      <c r="N28" s="33"/>
      <c r="O28" s="33"/>
      <c r="P28" s="33"/>
      <c r="Q28" s="33"/>
      <c r="R28" s="33"/>
      <c r="S28" s="33"/>
      <c r="U28" s="52">
        <f>DATE(2015,1,14)+TIME(20,0,0)+gmt_delta</f>
        <v>42019.5</v>
      </c>
      <c r="V28" s="58" t="str">
        <f t="shared" si="4"/>
        <v/>
      </c>
      <c r="W28" s="58" t="str">
        <f t="shared" si="5"/>
        <v/>
      </c>
      <c r="X28" s="53">
        <f t="shared" si="2"/>
        <v>0</v>
      </c>
      <c r="Y28" s="52">
        <f t="shared" si="6"/>
        <v>0</v>
      </c>
      <c r="Z28" s="52">
        <f t="shared" si="7"/>
        <v>0</v>
      </c>
      <c r="AI28" s="52">
        <f>MIN(AI23:AI26)</f>
        <v>0</v>
      </c>
      <c r="AJ28" s="52">
        <f>MIN(AJ23:AJ26)</f>
        <v>0</v>
      </c>
      <c r="AW28" s="53" t="str">
        <f>INDEX(T,49,lang)</f>
        <v>Баҳрайн</v>
      </c>
      <c r="AX28" s="57">
        <v>1989</v>
      </c>
    </row>
    <row r="29" spans="1:51" ht="16.5" customHeight="1" x14ac:dyDescent="0.2">
      <c r="A29" s="128">
        <v>14</v>
      </c>
      <c r="B29" s="72" t="str">
        <f t="shared" si="0"/>
        <v>Пай</v>
      </c>
      <c r="C29" s="73" t="str">
        <f t="shared" si="1"/>
        <v>Янв 15, 2015</v>
      </c>
      <c r="D29" s="74">
        <f t="shared" si="3"/>
        <v>0.58333333333333337</v>
      </c>
      <c r="E29" s="102" t="str">
        <f>AC31</f>
        <v>Қатар</v>
      </c>
      <c r="F29" s="142"/>
      <c r="G29" s="143"/>
      <c r="H29" s="101" t="str">
        <f>AC29</f>
        <v>Эрон</v>
      </c>
      <c r="I29" s="278" t="str">
        <f>INDEX(T,105,lang)</f>
        <v>Сидней</v>
      </c>
      <c r="J29" s="279"/>
      <c r="K29" s="280"/>
      <c r="M29" s="46" t="str">
        <f>INDEX(T,9,lang) &amp; " " &amp; "C"</f>
        <v>Гуруҳ C</v>
      </c>
      <c r="N29" s="47" t="str">
        <f>INDEX(T,10,lang)</f>
        <v>Ў</v>
      </c>
      <c r="O29" s="47" t="str">
        <f>INDEX(T,11,lang)</f>
        <v>Ю</v>
      </c>
      <c r="P29" s="47" t="str">
        <f>INDEX(T,12,lang)</f>
        <v>Д</v>
      </c>
      <c r="Q29" s="47" t="str">
        <f>INDEX(T,13,lang)</f>
        <v>М</v>
      </c>
      <c r="R29" s="47" t="str">
        <f>INDEX(T,14,lang)</f>
        <v>Тўп. нисб.</v>
      </c>
      <c r="S29" s="157" t="str">
        <f>INDEX(T,15,lang)</f>
        <v>Очколар</v>
      </c>
      <c r="U29" s="52">
        <f>DATE(2015,1,14)+TIME(22,0,0)+gmt_delta</f>
        <v>42019.583333333328</v>
      </c>
      <c r="V29" s="58" t="str">
        <f t="shared" si="4"/>
        <v/>
      </c>
      <c r="W29" s="58" t="str">
        <f t="shared" si="5"/>
        <v/>
      </c>
      <c r="X29" s="53">
        <f t="shared" si="2"/>
        <v>0</v>
      </c>
      <c r="Y29" s="52">
        <f t="shared" si="6"/>
        <v>0</v>
      </c>
      <c r="Z29" s="52">
        <f t="shared" si="7"/>
        <v>0</v>
      </c>
      <c r="AB29" s="52">
        <f>COUNTIF(AO29:AO32,CONCATENATE("&gt;=",AO29))</f>
        <v>1</v>
      </c>
      <c r="AC29" s="53" t="str">
        <f>INDEX(T,46,lang)</f>
        <v>Эрон</v>
      </c>
      <c r="AD29" s="52">
        <f>COUNTIF($V$16:$W$39,"=" &amp; AC29 &amp; "_win")</f>
        <v>0</v>
      </c>
      <c r="AE29" s="52">
        <f>COUNTIF($V$16:$W$39,"=" &amp; AC29 &amp; "_draw")</f>
        <v>0</v>
      </c>
      <c r="AF29" s="52">
        <f>COUNTIF($V$16:$W$39,"=" &amp; AC29 &amp; "_lose")</f>
        <v>0</v>
      </c>
      <c r="AG29" s="52">
        <f>SUMIF($E$16:$E$39,$AC29,$F$16:$F$39) + SUMIF($H$16:$H$39,$AC29,$G$16:$G$39)</f>
        <v>0</v>
      </c>
      <c r="AH29" s="52">
        <f>SUMIF($E$16:$E$39,$AC29,$G$16:$G$39) + SUMIF($H$16:$H$39,$AC29,$F$16:$F$39)</f>
        <v>0</v>
      </c>
      <c r="AI29" s="52">
        <f t="shared" ref="AI29:AI32" si="11">AL29</f>
        <v>0</v>
      </c>
      <c r="AJ29" s="52">
        <f>AG29-AH29</f>
        <v>0</v>
      </c>
      <c r="AK29" s="52">
        <f>(AJ29-AJ34)/AJ33</f>
        <v>0</v>
      </c>
      <c r="AL29" s="52">
        <f>AD29*3+AE29</f>
        <v>0</v>
      </c>
      <c r="AM29" s="52">
        <f>AQ29/AQ33*1000+AR29/AR33*100+AU29/AU33*10+AS29/AS33</f>
        <v>0</v>
      </c>
      <c r="AN29" s="52">
        <f>VLOOKUP(AC29,cards_C_group,2,FALSE)/2000000</f>
        <v>5.0000000000000001E-4</v>
      </c>
      <c r="AO29" s="53">
        <f>1000*AL29/AL33+10*AK29+1*AG29/AG33+100*AM29/AM33+AN29+AY29</f>
        <v>5.0099599999999997E-4</v>
      </c>
      <c r="AP29" s="54" t="str">
        <f>IF(SUM(AD29:AF32)=12,M30,INDEX(T,74,lang))</f>
        <v>1C</v>
      </c>
      <c r="AQ29" s="55">
        <f>SUMPRODUCT(($V$16:$V$39=AC29&amp;"_win")*($X$16:$X$39))+SUMPRODUCT(($W$16:$W$39=AC29&amp;"_win")*($X$16:$X$39))</f>
        <v>0</v>
      </c>
      <c r="AR29" s="56">
        <f>SUMPRODUCT(($V$16:$V$39=AC29&amp;"_draw")*($X$16:$X$39))+SUMPRODUCT(($W$16:$W$39=AC29&amp;"_draw")*($X$16:$X$39))</f>
        <v>0</v>
      </c>
      <c r="AS29" s="56">
        <f>SUMPRODUCT(($E$16:$E$39=AC29)*($X$16:$X$39)*($F$16:$F$39))+SUMPRODUCT(($H$16:$H$39=AC29)*($X$16:$X$39)*($G$16:$G$39))</f>
        <v>0</v>
      </c>
      <c r="AT29" s="56">
        <f>SUMPRODUCT(($E$16:$E$39=AC29)*($X$16:$X$39)*($G$16:$G$39))+SUMPRODUCT(($H$16:$H$39=AC29)*($X$16:$X$39)*($F$16:$F$39))</f>
        <v>0</v>
      </c>
      <c r="AU29" s="56">
        <f>AS29-AT29</f>
        <v>0</v>
      </c>
      <c r="AW29" s="53" t="str">
        <f>INDEX(T,50,lang)</f>
        <v>Япония</v>
      </c>
      <c r="AX29" s="57">
        <v>1988</v>
      </c>
      <c r="AY29" s="52">
        <f>VLOOKUP(AC29,db_fifarank,2,FALSE)/2000000000</f>
        <v>9.9600000000000008E-7</v>
      </c>
    </row>
    <row r="30" spans="1:51" ht="16.5" customHeight="1" x14ac:dyDescent="0.2">
      <c r="A30" s="128">
        <v>15</v>
      </c>
      <c r="B30" s="72" t="str">
        <f t="shared" si="0"/>
        <v>Жума</v>
      </c>
      <c r="C30" s="73" t="str">
        <f t="shared" si="1"/>
        <v>Янв 16, 2015</v>
      </c>
      <c r="D30" s="74">
        <f t="shared" si="3"/>
        <v>0.5</v>
      </c>
      <c r="E30" s="102" t="str">
        <f>AC38</f>
        <v>Фаластин</v>
      </c>
      <c r="F30" s="142"/>
      <c r="G30" s="143"/>
      <c r="H30" s="101" t="str">
        <f>AC36</f>
        <v>Иордания</v>
      </c>
      <c r="I30" s="278" t="str">
        <f>INDEX(T,103,lang)</f>
        <v>Мельбурн</v>
      </c>
      <c r="J30" s="279"/>
      <c r="K30" s="280"/>
      <c r="M30" s="21" t="str">
        <f>VLOOKUP(1,AB29:AL32,2,FALSE)</f>
        <v>Эрон</v>
      </c>
      <c r="N30" s="26">
        <f>O30+P30+Q30</f>
        <v>0</v>
      </c>
      <c r="O30" s="26">
        <f>VLOOKUP(1,AB29:AL32,3,FALSE)</f>
        <v>0</v>
      </c>
      <c r="P30" s="26">
        <f>VLOOKUP(1,AB29:AL32,4,FALSE)</f>
        <v>0</v>
      </c>
      <c r="Q30" s="26">
        <f>VLOOKUP(1,AB29:AL32,5,FALSE)</f>
        <v>0</v>
      </c>
      <c r="R30" s="26" t="str">
        <f>VLOOKUP(1,AB29:AL32,6,FALSE) &amp; " - " &amp; VLOOKUP(1,AB29:AL32,7,FALSE)</f>
        <v>0 - 0</v>
      </c>
      <c r="S30" s="27">
        <f>O30*3+P30</f>
        <v>0</v>
      </c>
      <c r="U30" s="52">
        <f>DATE(2015,1,15)+TIME(20,0,0)+gmt_delta</f>
        <v>42020.5</v>
      </c>
      <c r="V30" s="58" t="str">
        <f t="shared" si="4"/>
        <v/>
      </c>
      <c r="W30" s="58" t="str">
        <f t="shared" si="5"/>
        <v/>
      </c>
      <c r="X30" s="53">
        <f t="shared" si="2"/>
        <v>0</v>
      </c>
      <c r="Y30" s="52">
        <f t="shared" si="6"/>
        <v>0</v>
      </c>
      <c r="Z30" s="52">
        <f t="shared" si="7"/>
        <v>0</v>
      </c>
      <c r="AB30" s="52">
        <f>COUNTIF(AO29:AO32,CONCATENATE("&gt;=",AO30))</f>
        <v>2</v>
      </c>
      <c r="AC30" s="53" t="str">
        <f>INDEX(T,47,lang)</f>
        <v>БАА</v>
      </c>
      <c r="AD30" s="52">
        <f>COUNTIF($V$16:$W$39,"=" &amp; AC30 &amp; "_win")</f>
        <v>0</v>
      </c>
      <c r="AE30" s="52">
        <f>COUNTIF($V$16:$W$39,"=" &amp; AC30 &amp; "_draw")</f>
        <v>0</v>
      </c>
      <c r="AF30" s="52">
        <f>COUNTIF($V$16:$W$39,"=" &amp; AC30 &amp; "_lose")</f>
        <v>0</v>
      </c>
      <c r="AG30" s="52">
        <f>SUMIF($E$16:$E$39,$AC30,$F$16:$F$39) + SUMIF($H$16:$H$39,$AC30,$G$16:$G$39)</f>
        <v>0</v>
      </c>
      <c r="AH30" s="52">
        <f>SUMIF($E$16:$E$39,$AC30,$G$16:$G$39) + SUMIF($H$16:$H$39,$AC30,$F$16:$F$39)</f>
        <v>0</v>
      </c>
      <c r="AI30" s="52">
        <f t="shared" si="11"/>
        <v>0</v>
      </c>
      <c r="AJ30" s="52">
        <f>AG30-AH30</f>
        <v>0</v>
      </c>
      <c r="AK30" s="52">
        <f>(AJ30-AJ34)/AJ33</f>
        <v>0</v>
      </c>
      <c r="AL30" s="52">
        <f>AD30*3+AE30</f>
        <v>0</v>
      </c>
      <c r="AM30" s="52">
        <f>AQ30/AQ33*1000+AR30/AR33*100+AU30/AU33*10+AS30/AS33</f>
        <v>0</v>
      </c>
      <c r="AN30" s="52">
        <f>VLOOKUP(AC30,cards_C_group,2,FALSE)/2000000</f>
        <v>5.0000000000000001E-4</v>
      </c>
      <c r="AO30" s="53">
        <f>1000*AL30/AL33+10*AK30+1*AG30/AG33+100*AM30/AM33+AN30+AY30</f>
        <v>5.0099550000000002E-4</v>
      </c>
      <c r="AP30" s="54" t="str">
        <f>IF(SUM(AD29:AF32)=12,M31,INDEX(T,75,lang))</f>
        <v>2C</v>
      </c>
      <c r="AQ30" s="55">
        <f>SUMPRODUCT(($V$16:$V$39=AC30&amp;"_win")*($X$16:$X$39))+SUMPRODUCT(($W$16:$W$39=AC30&amp;"_win")*($X$16:$X$39))</f>
        <v>0</v>
      </c>
      <c r="AR30" s="56">
        <f>SUMPRODUCT(($V$16:$V$39=AC30&amp;"_draw")*($X$16:$X$39))+SUMPRODUCT(($W$16:$W$39=AC30&amp;"_draw")*($X$16:$X$39))</f>
        <v>0</v>
      </c>
      <c r="AS30" s="56">
        <f>SUMPRODUCT(($E$16:$E$39=AC30)*($X$16:$X$39)*($F$16:$F$39))+SUMPRODUCT(($H$16:$H$39=AC30)*($X$16:$X$39)*($G$16:$G$39))</f>
        <v>0</v>
      </c>
      <c r="AT30" s="56">
        <f>SUMPRODUCT(($E$16:$E$39=AC30)*($X$16:$X$39)*($G$16:$G$39))+SUMPRODUCT(($H$16:$H$39=AC30)*($X$16:$X$39)*($F$16:$F$39))</f>
        <v>0</v>
      </c>
      <c r="AU30" s="56">
        <f>AS30-AT30</f>
        <v>0</v>
      </c>
      <c r="AW30" s="53" t="str">
        <f>INDEX(T,51,lang)</f>
        <v>Иордания</v>
      </c>
      <c r="AX30" s="57">
        <v>1987</v>
      </c>
      <c r="AY30" s="52">
        <f>VLOOKUP(AC30,db_fifarank,2,FALSE)/2000000000</f>
        <v>9.9550000000000004E-7</v>
      </c>
    </row>
    <row r="31" spans="1:51" ht="16.5" customHeight="1" x14ac:dyDescent="0.2">
      <c r="A31" s="128">
        <v>16</v>
      </c>
      <c r="B31" s="72" t="str">
        <f t="shared" si="0"/>
        <v>Жума</v>
      </c>
      <c r="C31" s="73" t="str">
        <f t="shared" si="1"/>
        <v>Янв 16, 2015</v>
      </c>
      <c r="D31" s="74">
        <f t="shared" si="3"/>
        <v>0.58333333333333337</v>
      </c>
      <c r="E31" s="102" t="str">
        <f>AC37</f>
        <v>Ироқ</v>
      </c>
      <c r="F31" s="142"/>
      <c r="G31" s="143"/>
      <c r="H31" s="101" t="str">
        <f>AC35</f>
        <v>Япония</v>
      </c>
      <c r="I31" s="278" t="str">
        <f>INDEX(T,106,lang)</f>
        <v>Брисбен</v>
      </c>
      <c r="J31" s="279"/>
      <c r="K31" s="280"/>
      <c r="M31" s="22" t="str">
        <f>VLOOKUP(2,AB29:AL32,2,FALSE)</f>
        <v>БАА</v>
      </c>
      <c r="N31" s="28">
        <f>O31+P31+Q31</f>
        <v>0</v>
      </c>
      <c r="O31" s="28">
        <f>VLOOKUP(2,AB29:AL32,3,FALSE)</f>
        <v>0</v>
      </c>
      <c r="P31" s="28">
        <f>VLOOKUP(2,AB29:AL32,4,FALSE)</f>
        <v>0</v>
      </c>
      <c r="Q31" s="28">
        <f>VLOOKUP(2,AB29:AL32,5,FALSE)</f>
        <v>0</v>
      </c>
      <c r="R31" s="28" t="str">
        <f>VLOOKUP(2,AB29:AL32,6,FALSE) &amp; " - " &amp; VLOOKUP(2,AB29:AL32,7,FALSE)</f>
        <v>0 - 0</v>
      </c>
      <c r="S31" s="29">
        <f>O31*3+P31</f>
        <v>0</v>
      </c>
      <c r="U31" s="52">
        <f>DATE(2015,1,15)+TIME(22,0,0)+gmt_delta</f>
        <v>42020.583333333328</v>
      </c>
      <c r="V31" s="58" t="str">
        <f t="shared" si="4"/>
        <v/>
      </c>
      <c r="W31" s="58" t="str">
        <f t="shared" si="5"/>
        <v/>
      </c>
      <c r="X31" s="53">
        <f t="shared" si="2"/>
        <v>0</v>
      </c>
      <c r="Y31" s="52">
        <f t="shared" si="6"/>
        <v>0</v>
      </c>
      <c r="Z31" s="52">
        <f t="shared" si="7"/>
        <v>0</v>
      </c>
      <c r="AB31" s="52">
        <f>COUNTIF(AO29:AO32,CONCATENATE("&gt;=",AO31))</f>
        <v>3</v>
      </c>
      <c r="AC31" s="53" t="str">
        <f>INDEX(T,48,lang)</f>
        <v>Қатар</v>
      </c>
      <c r="AD31" s="52">
        <f>COUNTIF($V$16:$W$39,"=" &amp; AC31 &amp; "_win")</f>
        <v>0</v>
      </c>
      <c r="AE31" s="52">
        <f>COUNTIF($V$16:$W$39,"=" &amp; AC31 &amp; "_draw")</f>
        <v>0</v>
      </c>
      <c r="AF31" s="52">
        <f>COUNTIF($V$16:$W$39,"=" &amp; AC31 &amp; "_lose")</f>
        <v>0</v>
      </c>
      <c r="AG31" s="52">
        <f>SUMIF($E$16:$E$39,$AC31,$F$16:$F$39) + SUMIF($H$16:$H$39,$AC31,$G$16:$G$39)</f>
        <v>0</v>
      </c>
      <c r="AH31" s="52">
        <f>SUMIF($E$16:$E$39,$AC31,$G$16:$G$39) + SUMIF($H$16:$H$39,$AC31,$F$16:$F$39)</f>
        <v>0</v>
      </c>
      <c r="AI31" s="52">
        <f t="shared" si="11"/>
        <v>0</v>
      </c>
      <c r="AJ31" s="52">
        <f>AG31-AH31</f>
        <v>0</v>
      </c>
      <c r="AK31" s="52">
        <f>(AJ31-AJ34)/AJ33</f>
        <v>0</v>
      </c>
      <c r="AL31" s="52">
        <f>AD31*3+AE31</f>
        <v>0</v>
      </c>
      <c r="AM31" s="52">
        <f>AQ31/AQ33*1000+AR31/AR33*100+AU31/AU33*10+AS31/AS33</f>
        <v>0</v>
      </c>
      <c r="AN31" s="52">
        <f>VLOOKUP(AC31,cards_C_group,2,FALSE)/2000000</f>
        <v>5.0000000000000001E-4</v>
      </c>
      <c r="AO31" s="53">
        <f>1000*AL31/AL33+10*AK31+1*AG31/AG33+100*AM31/AM33+AN31+AY31</f>
        <v>5.0099500000000006E-4</v>
      </c>
      <c r="AQ31" s="55">
        <f>SUMPRODUCT(($V$16:$V$39=AC31&amp;"_win")*($X$16:$X$39))+SUMPRODUCT(($W$16:$W$39=AC31&amp;"_win")*($X$16:$X$39))</f>
        <v>0</v>
      </c>
      <c r="AR31" s="56">
        <f>SUMPRODUCT(($V$16:$V$39=AC31&amp;"_draw")*($X$16:$X$39))+SUMPRODUCT(($W$16:$W$39=AC31&amp;"_draw")*($X$16:$X$39))</f>
        <v>0</v>
      </c>
      <c r="AS31" s="56">
        <f>SUMPRODUCT(($E$16:$E$39=AC31)*($X$16:$X$39)*($F$16:$F$39))+SUMPRODUCT(($H$16:$H$39=AC31)*($X$16:$X$39)*($G$16:$G$39))</f>
        <v>0</v>
      </c>
      <c r="AT31" s="56">
        <f>SUMPRODUCT(($E$16:$E$39=AC31)*($X$16:$X$39)*($G$16:$G$39))+SUMPRODUCT(($H$16:$H$39=AC31)*($X$16:$X$39)*($F$16:$F$39))</f>
        <v>0</v>
      </c>
      <c r="AU31" s="56">
        <f>AS31-AT31</f>
        <v>0</v>
      </c>
      <c r="AW31" s="53" t="str">
        <f>INDEX(T,52,lang)</f>
        <v>Ироқ</v>
      </c>
      <c r="AX31" s="57">
        <v>1986</v>
      </c>
      <c r="AY31" s="52">
        <f>VLOOKUP(AC31,db_fifarank,2,FALSE)/2000000000</f>
        <v>9.95E-7</v>
      </c>
    </row>
    <row r="32" spans="1:51" ht="16.5" customHeight="1" x14ac:dyDescent="0.2">
      <c r="A32" s="128">
        <v>17</v>
      </c>
      <c r="B32" s="72" t="str">
        <f t="shared" si="0"/>
        <v>Шанба</v>
      </c>
      <c r="C32" s="73" t="str">
        <f t="shared" si="1"/>
        <v>Янв 17, 2015</v>
      </c>
      <c r="D32" s="74">
        <f t="shared" si="3"/>
        <v>0.58333333333333337</v>
      </c>
      <c r="E32" s="102" t="str">
        <f>AC17</f>
        <v>Австралия</v>
      </c>
      <c r="F32" s="142"/>
      <c r="G32" s="143"/>
      <c r="H32" s="101" t="str">
        <f>AC18</f>
        <v>Жанубий Корея</v>
      </c>
      <c r="I32" s="278" t="str">
        <f>INDEX(T,106,lang)</f>
        <v>Брисбен</v>
      </c>
      <c r="J32" s="279"/>
      <c r="K32" s="280"/>
      <c r="M32" s="22" t="str">
        <f>VLOOKUP(3,AB29:AL32,2,FALSE)</f>
        <v>Қатар</v>
      </c>
      <c r="N32" s="28">
        <f>O32+P32+Q32</f>
        <v>0</v>
      </c>
      <c r="O32" s="28">
        <f>VLOOKUP(3,AB29:AL32,3,FALSE)</f>
        <v>0</v>
      </c>
      <c r="P32" s="28">
        <f>VLOOKUP(3,AB29:AL32,4,FALSE)</f>
        <v>0</v>
      </c>
      <c r="Q32" s="28">
        <f>VLOOKUP(3,AB29:AL32,5,FALSE)</f>
        <v>0</v>
      </c>
      <c r="R32" s="28" t="str">
        <f>VLOOKUP(3,AB29:AL32,6,FALSE) &amp; " - " &amp; VLOOKUP(3,AB29:AL32,7,FALSE)</f>
        <v>0 - 0</v>
      </c>
      <c r="S32" s="29">
        <f>O32*3+P32</f>
        <v>0</v>
      </c>
      <c r="U32" s="52">
        <f>DATE(2015,1,16)+TIME(22,0,0)+gmt_delta</f>
        <v>42021.583333333328</v>
      </c>
      <c r="V32" s="58" t="str">
        <f t="shared" si="4"/>
        <v/>
      </c>
      <c r="W32" s="58" t="str">
        <f t="shared" si="5"/>
        <v/>
      </c>
      <c r="X32" s="53">
        <f t="shared" si="2"/>
        <v>0</v>
      </c>
      <c r="Y32" s="52">
        <f t="shared" si="6"/>
        <v>0</v>
      </c>
      <c r="Z32" s="52">
        <f t="shared" si="7"/>
        <v>0</v>
      </c>
      <c r="AB32" s="52">
        <f>COUNTIF(AO29:AO32,CONCATENATE("&gt;=",AO32))</f>
        <v>4</v>
      </c>
      <c r="AC32" s="53" t="str">
        <f>INDEX(T,49,lang)</f>
        <v>Баҳрайн</v>
      </c>
      <c r="AD32" s="52">
        <f>COUNTIF($V$16:$W$39,"=" &amp; AC32 &amp; "_win")</f>
        <v>0</v>
      </c>
      <c r="AE32" s="52">
        <f>COUNTIF($V$16:$W$39,"=" &amp; AC32 &amp; "_draw")</f>
        <v>0</v>
      </c>
      <c r="AF32" s="52">
        <f>COUNTIF($V$16:$W$39,"=" &amp; AC32 &amp; "_lose")</f>
        <v>0</v>
      </c>
      <c r="AG32" s="52">
        <f>SUMIF($E$16:$E$39,$AC32,$F$16:$F$39) + SUMIF($H$16:$H$39,$AC32,$G$16:$G$39)</f>
        <v>0</v>
      </c>
      <c r="AH32" s="52">
        <f>SUMIF($E$16:$E$39,$AC32,$G$16:$G$39) + SUMIF($H$16:$H$39,$AC32,$F$16:$F$39)</f>
        <v>0</v>
      </c>
      <c r="AI32" s="52">
        <f t="shared" si="11"/>
        <v>0</v>
      </c>
      <c r="AJ32" s="52">
        <f>AG32-AH32</f>
        <v>0</v>
      </c>
      <c r="AK32" s="52">
        <f>(AJ32-AJ34)/AJ33</f>
        <v>0</v>
      </c>
      <c r="AL32" s="52">
        <f>AD32*3+AE32</f>
        <v>0</v>
      </c>
      <c r="AM32" s="52">
        <f>AQ32/AQ33*1000+AR32/AR33*100+AU32/AU33*10+AS32/AS33</f>
        <v>0</v>
      </c>
      <c r="AN32" s="52">
        <f>VLOOKUP(AC32,cards_C_group,2,FALSE)/2000000</f>
        <v>5.0000000000000001E-4</v>
      </c>
      <c r="AO32" s="53">
        <f>1000*AL32/AL33+10*AK32+1*AG32/AG33+100*AM32/AM33+AN32+AY32</f>
        <v>5.009945E-4</v>
      </c>
      <c r="AQ32" s="55">
        <f>SUMPRODUCT(($V$16:$V$39=AC32&amp;"_win")*($X$16:$X$39))+SUMPRODUCT(($W$16:$W$39=AC32&amp;"_win")*($X$16:$X$39))</f>
        <v>0</v>
      </c>
      <c r="AR32" s="56">
        <f>SUMPRODUCT(($V$16:$V$39=AC32&amp;"_draw")*($X$16:$X$39))+SUMPRODUCT(($W$16:$W$39=AC32&amp;"_draw")*($X$16:$X$39))</f>
        <v>0</v>
      </c>
      <c r="AS32" s="56">
        <f>SUMPRODUCT(($E$16:$E$39=AC32)*($X$16:$X$39)*($F$16:$F$39))+SUMPRODUCT(($H$16:$H$39=AC32)*($X$16:$X$39)*($G$16:$G$39))</f>
        <v>0</v>
      </c>
      <c r="AT32" s="56">
        <f>SUMPRODUCT(($E$16:$E$39=AC32)*($X$16:$X$39)*($G$16:$G$39))+SUMPRODUCT(($H$16:$H$39=AC32)*($X$16:$X$39)*($F$16:$F$39))</f>
        <v>0</v>
      </c>
      <c r="AU32" s="56">
        <f>AS32-AT32</f>
        <v>0</v>
      </c>
      <c r="AW32" s="53" t="str">
        <f>INDEX(T,53,lang)</f>
        <v>Фаластин</v>
      </c>
      <c r="AX32" s="57">
        <v>1985</v>
      </c>
      <c r="AY32" s="52">
        <f>VLOOKUP(AC32,db_fifarank,2,FALSE)/2000000000</f>
        <v>9.9449999999999997E-7</v>
      </c>
    </row>
    <row r="33" spans="1:51" ht="16.5" customHeight="1" x14ac:dyDescent="0.2">
      <c r="A33" s="128">
        <v>18</v>
      </c>
      <c r="B33" s="72" t="str">
        <f t="shared" si="0"/>
        <v>Шанба</v>
      </c>
      <c r="C33" s="73" t="str">
        <f t="shared" si="1"/>
        <v>Янв 17, 2015</v>
      </c>
      <c r="D33" s="74">
        <f t="shared" si="3"/>
        <v>0.58333333333333337</v>
      </c>
      <c r="E33" s="102" t="str">
        <f>AC19</f>
        <v>Уммон</v>
      </c>
      <c r="F33" s="142"/>
      <c r="G33" s="143"/>
      <c r="H33" s="101" t="str">
        <f>AC20</f>
        <v>Кувайт</v>
      </c>
      <c r="I33" s="278" t="str">
        <f>INDEX(T,107,lang)</f>
        <v>Ньюкасл</v>
      </c>
      <c r="J33" s="279"/>
      <c r="K33" s="280"/>
      <c r="M33" s="23" t="str">
        <f>VLOOKUP(4,AB29:AL32,2,FALSE)</f>
        <v>Баҳрайн</v>
      </c>
      <c r="N33" s="30">
        <f>O33+P33+Q33</f>
        <v>0</v>
      </c>
      <c r="O33" s="30">
        <f>VLOOKUP(4,AB29:AL32,3,FALSE)</f>
        <v>0</v>
      </c>
      <c r="P33" s="30">
        <f>VLOOKUP(4,AB29:AL32,4,FALSE)</f>
        <v>0</v>
      </c>
      <c r="Q33" s="30">
        <f>VLOOKUP(4,AB29:AL32,5,FALSE)</f>
        <v>0</v>
      </c>
      <c r="R33" s="30" t="str">
        <f>VLOOKUP(4,AB29:AL32,6,FALSE) &amp; " - " &amp; VLOOKUP(4,AB29:AL32,7,FALSE)</f>
        <v>0 - 0</v>
      </c>
      <c r="S33" s="31">
        <f>O33*3+P33</f>
        <v>0</v>
      </c>
      <c r="U33" s="52">
        <f>DATE(2015,1,16)+TIME(22,0,0)+gmt_delta</f>
        <v>42021.583333333328</v>
      </c>
      <c r="V33" s="58" t="str">
        <f t="shared" si="4"/>
        <v/>
      </c>
      <c r="W33" s="58" t="str">
        <f t="shared" si="5"/>
        <v/>
      </c>
      <c r="X33" s="53">
        <f t="shared" si="2"/>
        <v>0</v>
      </c>
      <c r="Y33" s="52">
        <f t="shared" si="6"/>
        <v>0</v>
      </c>
      <c r="Z33" s="52">
        <f t="shared" si="7"/>
        <v>0</v>
      </c>
      <c r="AD33" s="52">
        <f t="shared" ref="AD33:AM33" si="12">MAX(AD29:AD32)-MIN(AD29:AD32)+1</f>
        <v>1</v>
      </c>
      <c r="AE33" s="52">
        <f t="shared" si="12"/>
        <v>1</v>
      </c>
      <c r="AF33" s="52">
        <f t="shared" si="12"/>
        <v>1</v>
      </c>
      <c r="AG33" s="52">
        <f t="shared" si="12"/>
        <v>1</v>
      </c>
      <c r="AH33" s="52">
        <f t="shared" si="12"/>
        <v>1</v>
      </c>
      <c r="AI33" s="52">
        <f>MAX(AI29:AI32)-AI34+1</f>
        <v>1</v>
      </c>
      <c r="AJ33" s="52">
        <f>MAX(AJ29:AJ32)-AJ34+1</f>
        <v>1</v>
      </c>
      <c r="AL33" s="52">
        <f t="shared" si="12"/>
        <v>1</v>
      </c>
      <c r="AM33" s="52">
        <f t="shared" si="12"/>
        <v>1</v>
      </c>
      <c r="AQ33" s="52">
        <f>MAX(AQ29:AQ32)-MIN(AQ29:AQ32)+1</f>
        <v>1</v>
      </c>
      <c r="AR33" s="52">
        <f>MAX(AR29:AR32)-MIN(AR29:AR32)+1</f>
        <v>1</v>
      </c>
      <c r="AS33" s="52">
        <f>MAX(AS29:AS32)-MIN(AS29:AS32)+1</f>
        <v>1</v>
      </c>
      <c r="AT33" s="52">
        <f>MAX(AT29:AT32)-MIN(AT29:AT32)+1</f>
        <v>1</v>
      </c>
      <c r="AU33" s="52">
        <f>MAX(AU29:AU32)-MIN(AU29:AU32)+1</f>
        <v>1</v>
      </c>
      <c r="AW33" s="53"/>
    </row>
    <row r="34" spans="1:51" ht="16.5" customHeight="1" x14ac:dyDescent="0.2">
      <c r="A34" s="210">
        <v>19</v>
      </c>
      <c r="B34" s="211" t="str">
        <f t="shared" si="0"/>
        <v>Якш</v>
      </c>
      <c r="C34" s="212" t="str">
        <f t="shared" si="1"/>
        <v>Янв 18, 2015</v>
      </c>
      <c r="D34" s="213">
        <f t="shared" si="3"/>
        <v>0.58333333333333337</v>
      </c>
      <c r="E34" s="214" t="str">
        <f>AC23</f>
        <v>Ўзбекистон</v>
      </c>
      <c r="F34" s="215"/>
      <c r="G34" s="216"/>
      <c r="H34" s="217" t="str">
        <f>AC24</f>
        <v>С.Арабистони</v>
      </c>
      <c r="I34" s="281" t="str">
        <f>INDEX(T,103,lang)</f>
        <v>Мельбурн</v>
      </c>
      <c r="J34" s="282"/>
      <c r="K34" s="283"/>
      <c r="M34" s="32"/>
      <c r="N34" s="33"/>
      <c r="O34" s="33"/>
      <c r="P34" s="33"/>
      <c r="Q34" s="33"/>
      <c r="R34" s="33"/>
      <c r="S34" s="33"/>
      <c r="U34" s="52">
        <f>DATE(2015,1,17)+TIME(22,0,0)+gmt_delta</f>
        <v>42022.583333333328</v>
      </c>
      <c r="V34" s="58" t="str">
        <f t="shared" si="4"/>
        <v/>
      </c>
      <c r="W34" s="58" t="str">
        <f t="shared" si="5"/>
        <v/>
      </c>
      <c r="X34" s="53">
        <f t="shared" si="2"/>
        <v>0</v>
      </c>
      <c r="Y34" s="52">
        <f t="shared" si="6"/>
        <v>0</v>
      </c>
      <c r="Z34" s="52">
        <f t="shared" si="7"/>
        <v>0</v>
      </c>
      <c r="AI34" s="52">
        <f>MIN(AI29:AI32)</f>
        <v>0</v>
      </c>
      <c r="AJ34" s="52">
        <f>MIN(AJ29:AJ32)</f>
        <v>0</v>
      </c>
      <c r="AW34" s="53"/>
    </row>
    <row r="35" spans="1:51" ht="16.5" customHeight="1" x14ac:dyDescent="0.2">
      <c r="A35" s="128">
        <v>20</v>
      </c>
      <c r="B35" s="72" t="str">
        <f t="shared" si="0"/>
        <v>Якш</v>
      </c>
      <c r="C35" s="73" t="str">
        <f t="shared" si="1"/>
        <v>Янв 18, 2015</v>
      </c>
      <c r="D35" s="74">
        <f t="shared" si="3"/>
        <v>0.58333333333333337</v>
      </c>
      <c r="E35" s="102" t="str">
        <f>AC25</f>
        <v>Хитой</v>
      </c>
      <c r="F35" s="142"/>
      <c r="G35" s="143"/>
      <c r="H35" s="101" t="str">
        <f>AC26</f>
        <v>Шимолий Корея</v>
      </c>
      <c r="I35" s="278" t="str">
        <f>INDEX(T,104,lang)</f>
        <v>Канберра</v>
      </c>
      <c r="J35" s="279"/>
      <c r="K35" s="280"/>
      <c r="M35" s="46" t="str">
        <f>INDEX(T,9,lang) &amp; " " &amp; "D"</f>
        <v>Гуруҳ D</v>
      </c>
      <c r="N35" s="47" t="str">
        <f>INDEX(T,10,lang)</f>
        <v>Ў</v>
      </c>
      <c r="O35" s="47" t="str">
        <f>INDEX(T,11,lang)</f>
        <v>Ю</v>
      </c>
      <c r="P35" s="47" t="str">
        <f>INDEX(T,12,lang)</f>
        <v>Д</v>
      </c>
      <c r="Q35" s="47" t="str">
        <f>INDEX(T,13,lang)</f>
        <v>М</v>
      </c>
      <c r="R35" s="47" t="str">
        <f>INDEX(T,14,lang)</f>
        <v>Тўп. нисб.</v>
      </c>
      <c r="S35" s="157" t="str">
        <f>INDEX(T,15,lang)</f>
        <v>Очколар</v>
      </c>
      <c r="U35" s="52">
        <f>DATE(2015,1,17)+TIME(22,0,0)+gmt_delta</f>
        <v>42022.583333333328</v>
      </c>
      <c r="V35" s="58" t="str">
        <f t="shared" si="4"/>
        <v/>
      </c>
      <c r="W35" s="58" t="str">
        <f t="shared" si="5"/>
        <v/>
      </c>
      <c r="X35" s="53">
        <f t="shared" si="2"/>
        <v>0</v>
      </c>
      <c r="Y35" s="52">
        <f t="shared" si="6"/>
        <v>0</v>
      </c>
      <c r="Z35" s="52">
        <f t="shared" si="7"/>
        <v>0</v>
      </c>
      <c r="AB35" s="52">
        <f>COUNTIF(AO35:AO38,CONCATENATE("&gt;=",AO35))</f>
        <v>1</v>
      </c>
      <c r="AC35" s="53" t="str">
        <f>INDEX(T,50,lang)</f>
        <v>Япония</v>
      </c>
      <c r="AD35" s="52">
        <f>COUNTIF($V$16:$W$39,"=" &amp; AC35 &amp; "_win")</f>
        <v>0</v>
      </c>
      <c r="AE35" s="52">
        <f>COUNTIF($V$16:$W$39,"=" &amp; AC35 &amp; "_draw")</f>
        <v>0</v>
      </c>
      <c r="AF35" s="52">
        <f>COUNTIF($V$16:$W$39,"=" &amp; AC35 &amp; "_lose")</f>
        <v>0</v>
      </c>
      <c r="AG35" s="52">
        <f>SUMIF($E$16:$E$39,$AC35,$F$16:$F$39) + SUMIF($H$16:$H$39,$AC35,$G$16:$G$39)</f>
        <v>0</v>
      </c>
      <c r="AH35" s="52">
        <f>SUMIF($E$16:$E$39,$AC35,$G$16:$G$39) + SUMIF($H$16:$H$39,$AC35,$F$16:$F$39)</f>
        <v>0</v>
      </c>
      <c r="AI35" s="52">
        <f t="shared" ref="AI35:AI38" si="13">AL35</f>
        <v>0</v>
      </c>
      <c r="AJ35" s="52">
        <f>AG35-AH35</f>
        <v>0</v>
      </c>
      <c r="AK35" s="52">
        <f>(AJ35-AJ40)/AJ39</f>
        <v>0</v>
      </c>
      <c r="AL35" s="52">
        <f>AD35*3+AE35</f>
        <v>0</v>
      </c>
      <c r="AM35" s="52">
        <f>AQ35/AQ39*1000+AR35/AR39*100+AU35/AU39*10+AS35/AS39</f>
        <v>0</v>
      </c>
      <c r="AN35" s="52">
        <f>VLOOKUP(AC35,cards_D_group,2,FALSE)/2000000</f>
        <v>5.0000000000000001E-4</v>
      </c>
      <c r="AO35" s="53">
        <f>1000*AL35/AL39+10*AK35+1*AG35/AG39+100*AM35/AM39+AN35+AY35</f>
        <v>5.0099400000000005E-4</v>
      </c>
      <c r="AP35" s="54" t="str">
        <f>IF(SUM(AD35:AF38)=12,M36,INDEX(T,76,lang))</f>
        <v>1D</v>
      </c>
      <c r="AQ35" s="55">
        <f>SUMPRODUCT(($V$16:$V$39=AC35&amp;"_win")*($X$16:$X$39))+SUMPRODUCT(($W$16:$W$39=AC35&amp;"_win")*($X$16:$X$39))</f>
        <v>0</v>
      </c>
      <c r="AR35" s="56">
        <f>SUMPRODUCT(($V$16:$V$39=AC35&amp;"_draw")*($X$16:$X$39))+SUMPRODUCT(($W$16:$W$39=AC35&amp;"_draw")*($X$16:$X$39))</f>
        <v>0</v>
      </c>
      <c r="AS35" s="56">
        <f>SUMPRODUCT(($E$16:$E$39=AC35)*($X$16:$X$39)*($F$16:$F$39))+SUMPRODUCT(($H$16:$H$39=AC35)*($X$16:$X$39)*($G$16:$G$39))</f>
        <v>0</v>
      </c>
      <c r="AT35" s="56">
        <f>SUMPRODUCT(($E$16:$E$39=AC35)*($X$16:$X$39)*($G$16:$G$39))+SUMPRODUCT(($H$16:$H$39=AC35)*($X$16:$X$39)*($F$16:$F$39))</f>
        <v>0</v>
      </c>
      <c r="AU35" s="56">
        <f>AS35-AT35</f>
        <v>0</v>
      </c>
      <c r="AY35" s="52">
        <f>VLOOKUP(AC35,db_fifarank,2,FALSE)/2000000000</f>
        <v>9.9399999999999993E-7</v>
      </c>
    </row>
    <row r="36" spans="1:51" ht="16.5" customHeight="1" x14ac:dyDescent="0.2">
      <c r="A36" s="128">
        <v>21</v>
      </c>
      <c r="B36" s="72" t="str">
        <f t="shared" si="0"/>
        <v>Душ</v>
      </c>
      <c r="C36" s="73" t="str">
        <f t="shared" si="1"/>
        <v>Янв 19, 2015</v>
      </c>
      <c r="D36" s="74">
        <f t="shared" si="3"/>
        <v>0.58333333333333337</v>
      </c>
      <c r="E36" s="102" t="str">
        <f>AC29</f>
        <v>Эрон</v>
      </c>
      <c r="F36" s="142"/>
      <c r="G36" s="143"/>
      <c r="H36" s="101" t="str">
        <f>AC30</f>
        <v>БАА</v>
      </c>
      <c r="I36" s="278" t="str">
        <f>INDEX(T,106,lang)</f>
        <v>Брисбен</v>
      </c>
      <c r="J36" s="279"/>
      <c r="K36" s="280"/>
      <c r="M36" s="21" t="str">
        <f>VLOOKUP(1,AB35:AL38,2,FALSE)</f>
        <v>Япония</v>
      </c>
      <c r="N36" s="26">
        <f>O36+P36+Q36</f>
        <v>0</v>
      </c>
      <c r="O36" s="26">
        <f>VLOOKUP(1,AB35:AL38,3,FALSE)</f>
        <v>0</v>
      </c>
      <c r="P36" s="26">
        <f>VLOOKUP(1,AB35:AL38,4,FALSE)</f>
        <v>0</v>
      </c>
      <c r="Q36" s="26">
        <f>VLOOKUP(1,AB35:AL38,5,FALSE)</f>
        <v>0</v>
      </c>
      <c r="R36" s="26" t="str">
        <f>VLOOKUP(1,AB35:AL38,6,FALSE) &amp; " - " &amp; VLOOKUP(1,AB35:AL38,7,FALSE)</f>
        <v>0 - 0</v>
      </c>
      <c r="S36" s="27">
        <f>O36*3+P36</f>
        <v>0</v>
      </c>
      <c r="U36" s="52">
        <f>DATE(2015,1,18)+TIME(22,0,0)+gmt_delta</f>
        <v>42023.583333333328</v>
      </c>
      <c r="V36" s="58" t="str">
        <f t="shared" si="4"/>
        <v/>
      </c>
      <c r="W36" s="58" t="str">
        <f t="shared" si="5"/>
        <v/>
      </c>
      <c r="X36" s="53">
        <f t="shared" si="2"/>
        <v>0</v>
      </c>
      <c r="Y36" s="52">
        <f t="shared" si="6"/>
        <v>0</v>
      </c>
      <c r="Z36" s="52">
        <f t="shared" si="7"/>
        <v>0</v>
      </c>
      <c r="AB36" s="52">
        <f>COUNTIF(AO35:AO38,CONCATENATE("&gt;=",AO36))</f>
        <v>2</v>
      </c>
      <c r="AC36" s="53" t="str">
        <f>INDEX(T,51,lang)</f>
        <v>Иордания</v>
      </c>
      <c r="AD36" s="52">
        <f>COUNTIF($V$16:$W$39,"=" &amp; AC36 &amp; "_win")</f>
        <v>0</v>
      </c>
      <c r="AE36" s="52">
        <f>COUNTIF($V$16:$W$39,"=" &amp; AC36 &amp; "_draw")</f>
        <v>0</v>
      </c>
      <c r="AF36" s="52">
        <f>COUNTIF($V$16:$W$39,"=" &amp; AC36 &amp; "_lose")</f>
        <v>0</v>
      </c>
      <c r="AG36" s="52">
        <f>SUMIF($E$16:$E$39,$AC36,$F$16:$F$39) + SUMIF($H$16:$H$39,$AC36,$G$16:$G$39)</f>
        <v>0</v>
      </c>
      <c r="AH36" s="52">
        <f>SUMIF($E$16:$E$39,$AC36,$G$16:$G$39) + SUMIF($H$16:$H$39,$AC36,$F$16:$F$39)</f>
        <v>0</v>
      </c>
      <c r="AI36" s="52">
        <f t="shared" si="13"/>
        <v>0</v>
      </c>
      <c r="AJ36" s="52">
        <f>AG36-AH36</f>
        <v>0</v>
      </c>
      <c r="AK36" s="52">
        <f>(AJ36-AJ40)/AJ39</f>
        <v>0</v>
      </c>
      <c r="AL36" s="52">
        <f>AD36*3+AE36</f>
        <v>0</v>
      </c>
      <c r="AM36" s="52">
        <f>AQ36/AQ39*1000+AR36/AR39*100+AU36/AU39*10+AS36/AS39</f>
        <v>0</v>
      </c>
      <c r="AN36" s="52">
        <f>VLOOKUP(AC36,cards_D_group,2,FALSE)/2000000</f>
        <v>5.0000000000000001E-4</v>
      </c>
      <c r="AO36" s="53">
        <f>1000*AL36/AL39+10*AK36+1*AG36/AG39+100*AM36/AM39+AN36+AY36</f>
        <v>5.0099349999999999E-4</v>
      </c>
      <c r="AP36" s="54" t="str">
        <f>IF(SUM(AD35:AF38)=12,M37,INDEX(T,77,lang))</f>
        <v>2D</v>
      </c>
      <c r="AQ36" s="55">
        <f>SUMPRODUCT(($V$16:$V$39=AC36&amp;"_win")*($X$16:$X$39))+SUMPRODUCT(($W$16:$W$39=AC36&amp;"_win")*($X$16:$X$39))</f>
        <v>0</v>
      </c>
      <c r="AR36" s="56">
        <f>SUMPRODUCT(($V$16:$V$39=AC36&amp;"_draw")*($X$16:$X$39))+SUMPRODUCT(($W$16:$W$39=AC36&amp;"_draw")*($X$16:$X$39))</f>
        <v>0</v>
      </c>
      <c r="AS36" s="56">
        <f>SUMPRODUCT(($E$16:$E$39=AC36)*($X$16:$X$39)*($F$16:$F$39))+SUMPRODUCT(($H$16:$H$39=AC36)*($X$16:$X$39)*($G$16:$G$39))</f>
        <v>0</v>
      </c>
      <c r="AT36" s="56">
        <f>SUMPRODUCT(($E$16:$E$39=AC36)*($X$16:$X$39)*($G$16:$G$39))+SUMPRODUCT(($H$16:$H$39=AC36)*($X$16:$X$39)*($F$16:$F$39))</f>
        <v>0</v>
      </c>
      <c r="AU36" s="56">
        <f>AS36-AT36</f>
        <v>0</v>
      </c>
      <c r="AY36" s="52">
        <f>VLOOKUP(AC36,db_fifarank,2,FALSE)/2000000000</f>
        <v>9.935000000000001E-7</v>
      </c>
    </row>
    <row r="37" spans="1:51" ht="16.5" customHeight="1" x14ac:dyDescent="0.2">
      <c r="A37" s="128">
        <v>22</v>
      </c>
      <c r="B37" s="72" t="str">
        <f t="shared" si="0"/>
        <v>Душ</v>
      </c>
      <c r="C37" s="73" t="str">
        <f t="shared" si="1"/>
        <v>Янв 19, 2015</v>
      </c>
      <c r="D37" s="74">
        <f t="shared" si="3"/>
        <v>0.58333333333333337</v>
      </c>
      <c r="E37" s="102" t="str">
        <f>AC31</f>
        <v>Қатар</v>
      </c>
      <c r="F37" s="142"/>
      <c r="G37" s="143"/>
      <c r="H37" s="101" t="str">
        <f>AC32</f>
        <v>Баҳрайн</v>
      </c>
      <c r="I37" s="278" t="str">
        <f>INDEX(T,105,lang)</f>
        <v>Сидней</v>
      </c>
      <c r="J37" s="279"/>
      <c r="K37" s="280"/>
      <c r="M37" s="22" t="str">
        <f>VLOOKUP(2,AB35:AL38,2,FALSE)</f>
        <v>Иордания</v>
      </c>
      <c r="N37" s="28">
        <f>O37+P37+Q37</f>
        <v>0</v>
      </c>
      <c r="O37" s="28">
        <f>VLOOKUP(2,AB35:AL38,3,FALSE)</f>
        <v>0</v>
      </c>
      <c r="P37" s="28">
        <f>VLOOKUP(2,AB35:AL38,4,FALSE)</f>
        <v>0</v>
      </c>
      <c r="Q37" s="28">
        <f>VLOOKUP(2,AB35:AL38,5,FALSE)</f>
        <v>0</v>
      </c>
      <c r="R37" s="28" t="str">
        <f>VLOOKUP(2,AB35:AL38,6,FALSE) &amp; " - " &amp; VLOOKUP(2,AB35:AL38,7,FALSE)</f>
        <v>0 - 0</v>
      </c>
      <c r="S37" s="29">
        <f>O37*3+P37</f>
        <v>0</v>
      </c>
      <c r="U37" s="52">
        <f>DATE(2015,1,18)+TIME(22,0,0)+gmt_delta</f>
        <v>42023.583333333328</v>
      </c>
      <c r="V37" s="58" t="str">
        <f t="shared" si="4"/>
        <v/>
      </c>
      <c r="W37" s="58" t="str">
        <f t="shared" si="5"/>
        <v/>
      </c>
      <c r="X37" s="53">
        <f t="shared" si="2"/>
        <v>0</v>
      </c>
      <c r="Y37" s="52">
        <f t="shared" si="6"/>
        <v>0</v>
      </c>
      <c r="Z37" s="52">
        <f t="shared" si="7"/>
        <v>0</v>
      </c>
      <c r="AB37" s="52">
        <f>COUNTIF(AO35:AO38,CONCATENATE("&gt;=",AO37))</f>
        <v>3</v>
      </c>
      <c r="AC37" s="53" t="str">
        <f>INDEX(T,52,lang)</f>
        <v>Ироқ</v>
      </c>
      <c r="AD37" s="52">
        <f>COUNTIF($V$16:$W$39,"=" &amp; AC37 &amp; "_win")</f>
        <v>0</v>
      </c>
      <c r="AE37" s="52">
        <f>COUNTIF($V$16:$W$39,"=" &amp; AC37 &amp; "_draw")</f>
        <v>0</v>
      </c>
      <c r="AF37" s="52">
        <f>COUNTIF($V$16:$W$39,"=" &amp; AC37 &amp; "_lose")</f>
        <v>0</v>
      </c>
      <c r="AG37" s="52">
        <f>SUMIF($E$16:$E$39,$AC37,$F$16:$F$39) + SUMIF($H$16:$H$39,$AC37,$G$16:$G$39)</f>
        <v>0</v>
      </c>
      <c r="AH37" s="52">
        <f>SUMIF($E$16:$E$39,$AC37,$G$16:$G$39) + SUMIF($H$16:$H$39,$AC37,$F$16:$F$39)</f>
        <v>0</v>
      </c>
      <c r="AI37" s="52">
        <f t="shared" si="13"/>
        <v>0</v>
      </c>
      <c r="AJ37" s="52">
        <f>AG37-AH37</f>
        <v>0</v>
      </c>
      <c r="AK37" s="52">
        <f>(AJ37-AJ40)/AJ39</f>
        <v>0</v>
      </c>
      <c r="AL37" s="52">
        <f>AD37*3+AE37</f>
        <v>0</v>
      </c>
      <c r="AM37" s="52">
        <f>AQ37/AQ39*1000+AR37/AR39*100+AU37/AU39*10+AS37/AS39</f>
        <v>0</v>
      </c>
      <c r="AN37" s="52">
        <f>VLOOKUP(AC37,cards_D_group,2,FALSE)/2000000</f>
        <v>5.0000000000000001E-4</v>
      </c>
      <c r="AO37" s="53">
        <f>1000*AL37/AL39+10*AK37+1*AG37/AG39+100*AM37/AM39+AN37+AY37</f>
        <v>5.0099300000000003E-4</v>
      </c>
      <c r="AQ37" s="55">
        <f>SUMPRODUCT(($V$16:$V$39=AC37&amp;"_win")*($X$16:$X$39))+SUMPRODUCT(($W$16:$W$39=AC37&amp;"_win")*($X$16:$X$39))</f>
        <v>0</v>
      </c>
      <c r="AR37" s="56">
        <f>SUMPRODUCT(($V$16:$V$39=AC37&amp;"_draw")*($X$16:$X$39))+SUMPRODUCT(($W$16:$W$39=AC37&amp;"_draw")*($X$16:$X$39))</f>
        <v>0</v>
      </c>
      <c r="AS37" s="56">
        <f>SUMPRODUCT(($E$16:$E$39=AC37)*($X$16:$X$39)*($F$16:$F$39))+SUMPRODUCT(($H$16:$H$39=AC37)*($X$16:$X$39)*($G$16:$G$39))</f>
        <v>0</v>
      </c>
      <c r="AT37" s="56">
        <f>SUMPRODUCT(($E$16:$E$39=AC37)*($X$16:$X$39)*($G$16:$G$39))+SUMPRODUCT(($H$16:$H$39=AC37)*($X$16:$X$39)*($F$16:$F$39))</f>
        <v>0</v>
      </c>
      <c r="AU37" s="56">
        <f>AS37-AT37</f>
        <v>0</v>
      </c>
      <c r="AY37" s="52">
        <f>VLOOKUP(AC37,db_fifarank,2,FALSE)/2000000000</f>
        <v>9.9300000000000006E-7</v>
      </c>
    </row>
    <row r="38" spans="1:51" ht="16.5" customHeight="1" x14ac:dyDescent="0.2">
      <c r="A38" s="128">
        <v>23</v>
      </c>
      <c r="B38" s="72" t="str">
        <f t="shared" si="0"/>
        <v>Сеш</v>
      </c>
      <c r="C38" s="73" t="str">
        <f t="shared" si="1"/>
        <v>Янв 20, 2015</v>
      </c>
      <c r="D38" s="74">
        <f t="shared" si="3"/>
        <v>0.58333333333333337</v>
      </c>
      <c r="E38" s="102" t="str">
        <f>AC35</f>
        <v>Япония</v>
      </c>
      <c r="F38" s="142"/>
      <c r="G38" s="143"/>
      <c r="H38" s="101" t="str">
        <f>AC36</f>
        <v>Иордания</v>
      </c>
      <c r="I38" s="278" t="str">
        <f>INDEX(T,103,lang)</f>
        <v>Мельбурн</v>
      </c>
      <c r="J38" s="279"/>
      <c r="K38" s="280"/>
      <c r="M38" s="22" t="str">
        <f>VLOOKUP(3,AB35:AL38,2,FALSE)</f>
        <v>Ироқ</v>
      </c>
      <c r="N38" s="28">
        <f>O38+P38+Q38</f>
        <v>0</v>
      </c>
      <c r="O38" s="28">
        <f>VLOOKUP(3,AB35:AL38,3,FALSE)</f>
        <v>0</v>
      </c>
      <c r="P38" s="28">
        <f>VLOOKUP(3,AB35:AL38,4,FALSE)</f>
        <v>0</v>
      </c>
      <c r="Q38" s="28">
        <f>VLOOKUP(3,AB35:AL38,5,FALSE)</f>
        <v>0</v>
      </c>
      <c r="R38" s="28" t="str">
        <f>VLOOKUP(3,AB35:AL38,6,FALSE) &amp; " - " &amp; VLOOKUP(3,AB35:AL38,7,FALSE)</f>
        <v>0 - 0</v>
      </c>
      <c r="S38" s="29">
        <f>O38*3+P38</f>
        <v>0</v>
      </c>
      <c r="U38" s="52">
        <f>DATE(2015,1,19)+TIME(22,0,0)+gmt_delta</f>
        <v>42024.583333333328</v>
      </c>
      <c r="V38" s="58" t="str">
        <f t="shared" si="4"/>
        <v/>
      </c>
      <c r="W38" s="58" t="str">
        <f t="shared" si="5"/>
        <v/>
      </c>
      <c r="X38" s="53">
        <f t="shared" si="2"/>
        <v>0</v>
      </c>
      <c r="Y38" s="52">
        <f t="shared" si="6"/>
        <v>0</v>
      </c>
      <c r="Z38" s="52">
        <f t="shared" si="7"/>
        <v>0</v>
      </c>
      <c r="AB38" s="52">
        <f>COUNTIF(AO35:AO38,CONCATENATE("&gt;=",AO38))</f>
        <v>4</v>
      </c>
      <c r="AC38" s="53" t="str">
        <f>INDEX(T,53,lang)</f>
        <v>Фаластин</v>
      </c>
      <c r="AD38" s="52">
        <f>COUNTIF($V$16:$W$39,"=" &amp; AC38 &amp; "_win")</f>
        <v>0</v>
      </c>
      <c r="AE38" s="52">
        <f>COUNTIF($V$16:$W$39,"=" &amp; AC38 &amp; "_draw")</f>
        <v>0</v>
      </c>
      <c r="AF38" s="52">
        <f>COUNTIF($V$16:$W$39,"=" &amp; AC38 &amp; "_lose")</f>
        <v>0</v>
      </c>
      <c r="AG38" s="52">
        <f>SUMIF($E$16:$E$39,$AC38,$F$16:$F$39) + SUMIF($H$16:$H$39,$AC38,$G$16:$G$39)</f>
        <v>0</v>
      </c>
      <c r="AH38" s="52">
        <f>SUMIF($E$16:$E$39,$AC38,$G$16:$G$39) + SUMIF($H$16:$H$39,$AC38,$F$16:$F$39)</f>
        <v>0</v>
      </c>
      <c r="AI38" s="52">
        <f t="shared" si="13"/>
        <v>0</v>
      </c>
      <c r="AJ38" s="52">
        <f>AG38-AH38</f>
        <v>0</v>
      </c>
      <c r="AK38" s="52">
        <f>(AJ38-AJ40)/AJ39</f>
        <v>0</v>
      </c>
      <c r="AL38" s="52">
        <f>AD38*3+AE38</f>
        <v>0</v>
      </c>
      <c r="AM38" s="52">
        <f>AQ38/AQ39*1000+AR38/AR39*100+AU38/AU39*10+AS38/AS39</f>
        <v>0</v>
      </c>
      <c r="AN38" s="52">
        <f>VLOOKUP(AC38,cards_D_group,2,FALSE)/2000000</f>
        <v>5.0000000000000001E-4</v>
      </c>
      <c r="AO38" s="53">
        <f>1000*AL38/AL39+10*AK38+1*AG38/AG39+100*AM38/AM39+AN38+AY38</f>
        <v>5.0099249999999997E-4</v>
      </c>
      <c r="AQ38" s="55">
        <f>SUMPRODUCT(($V$16:$V$39=AC38&amp;"_win")*($X$16:$X$39))+SUMPRODUCT(($W$16:$W$39=AC38&amp;"_win")*($X$16:$X$39))</f>
        <v>0</v>
      </c>
      <c r="AR38" s="56">
        <f>SUMPRODUCT(($V$16:$V$39=AC38&amp;"_draw")*($X$16:$X$39))+SUMPRODUCT(($W$16:$W$39=AC38&amp;"_draw")*($X$16:$X$39))</f>
        <v>0</v>
      </c>
      <c r="AS38" s="56">
        <f>SUMPRODUCT(($E$16:$E$39=AC38)*($X$16:$X$39)*($F$16:$F$39))+SUMPRODUCT(($H$16:$H$39=AC38)*($X$16:$X$39)*($G$16:$G$39))</f>
        <v>0</v>
      </c>
      <c r="AT38" s="56">
        <f>SUMPRODUCT(($E$16:$E$39=AC38)*($X$16:$X$39)*($G$16:$G$39))+SUMPRODUCT(($H$16:$H$39=AC38)*($X$16:$X$39)*($F$16:$F$39))</f>
        <v>0</v>
      </c>
      <c r="AU38" s="56">
        <f>AS38-AT38</f>
        <v>0</v>
      </c>
      <c r="AY38" s="52">
        <f>VLOOKUP(AC38,db_fifarank,2,FALSE)/2000000000</f>
        <v>9.9250000000000003E-7</v>
      </c>
    </row>
    <row r="39" spans="1:51" ht="16.5" customHeight="1" x14ac:dyDescent="0.2">
      <c r="A39" s="129">
        <v>24</v>
      </c>
      <c r="B39" s="130" t="str">
        <f t="shared" si="0"/>
        <v>Сеш</v>
      </c>
      <c r="C39" s="118" t="str">
        <f t="shared" si="1"/>
        <v>Янв 20, 2015</v>
      </c>
      <c r="D39" s="119">
        <f t="shared" si="3"/>
        <v>0.58333333333333337</v>
      </c>
      <c r="E39" s="131" t="str">
        <f>AC37</f>
        <v>Ироқ</v>
      </c>
      <c r="F39" s="144"/>
      <c r="G39" s="145"/>
      <c r="H39" s="132" t="str">
        <f>AC38</f>
        <v>Фаластин</v>
      </c>
      <c r="I39" s="332" t="str">
        <f>INDEX(T,104,lang)</f>
        <v>Канберра</v>
      </c>
      <c r="J39" s="333"/>
      <c r="K39" s="334"/>
      <c r="M39" s="23" t="str">
        <f>VLOOKUP(4,AB35:AL38,2,FALSE)</f>
        <v>Фаластин</v>
      </c>
      <c r="N39" s="30">
        <f>O39+P39+Q39</f>
        <v>0</v>
      </c>
      <c r="O39" s="30">
        <f>VLOOKUP(4,AB35:AL38,3,FALSE)</f>
        <v>0</v>
      </c>
      <c r="P39" s="30">
        <f>VLOOKUP(4,AB35:AL38,4,FALSE)</f>
        <v>0</v>
      </c>
      <c r="Q39" s="30">
        <f>VLOOKUP(4,AB35:AL38,5,FALSE)</f>
        <v>0</v>
      </c>
      <c r="R39" s="30" t="str">
        <f>VLOOKUP(4,AB35:AL38,6,FALSE) &amp; " - " &amp; VLOOKUP(4,AB35:AL38,7,FALSE)</f>
        <v>0 - 0</v>
      </c>
      <c r="S39" s="31">
        <f>O39*3+P39</f>
        <v>0</v>
      </c>
      <c r="U39" s="52">
        <f>DATE(2015,1,19)+TIME(22,0,0)+gmt_delta</f>
        <v>42024.583333333328</v>
      </c>
      <c r="V39" s="58" t="str">
        <f t="shared" si="4"/>
        <v/>
      </c>
      <c r="W39" s="58" t="str">
        <f t="shared" si="5"/>
        <v/>
      </c>
      <c r="X39" s="53">
        <f t="shared" si="2"/>
        <v>0</v>
      </c>
      <c r="Y39" s="52">
        <f t="shared" si="6"/>
        <v>0</v>
      </c>
      <c r="Z39" s="52">
        <f t="shared" si="7"/>
        <v>0</v>
      </c>
      <c r="AD39" s="52">
        <f t="shared" ref="AD39:AM39" si="14">MAX(AD35:AD38)-MIN(AD35:AD38)+1</f>
        <v>1</v>
      </c>
      <c r="AE39" s="52">
        <f t="shared" si="14"/>
        <v>1</v>
      </c>
      <c r="AF39" s="52">
        <f t="shared" si="14"/>
        <v>1</v>
      </c>
      <c r="AG39" s="52">
        <f t="shared" si="14"/>
        <v>1</v>
      </c>
      <c r="AH39" s="52">
        <f t="shared" si="14"/>
        <v>1</v>
      </c>
      <c r="AI39" s="52">
        <f>MAX(AI35:AI38)-AI40+1</f>
        <v>1</v>
      </c>
      <c r="AJ39" s="52">
        <f>MAX(AJ35:AJ38)-AJ40+1</f>
        <v>1</v>
      </c>
      <c r="AL39" s="52">
        <f t="shared" si="14"/>
        <v>1</v>
      </c>
      <c r="AM39" s="52">
        <f t="shared" si="14"/>
        <v>1</v>
      </c>
      <c r="AQ39" s="52">
        <f>MAX(AQ35:AQ38)-MIN(AQ35:AQ38)+1</f>
        <v>1</v>
      </c>
      <c r="AR39" s="52">
        <f>MAX(AR35:AR38)-MIN(AR35:AR38)+1</f>
        <v>1</v>
      </c>
      <c r="AS39" s="52">
        <f>MAX(AS35:AS38)-MIN(AS35:AS38)+1</f>
        <v>1</v>
      </c>
      <c r="AT39" s="52">
        <f>MAX(AT35:AT38)-MIN(AT35:AT38)+1</f>
        <v>1</v>
      </c>
      <c r="AU39" s="52">
        <f>MAX(AU35:AU38)-MIN(AU35:AU38)+1</f>
        <v>1</v>
      </c>
    </row>
    <row r="40" spans="1:51" x14ac:dyDescent="0.2">
      <c r="A40" s="60"/>
      <c r="B40" s="61"/>
      <c r="C40" s="60"/>
      <c r="D40" s="62"/>
      <c r="E40" s="126"/>
      <c r="F40" s="106"/>
      <c r="G40" s="106"/>
      <c r="H40" s="63"/>
      <c r="I40" s="138"/>
      <c r="J40" s="139"/>
      <c r="K40" s="139"/>
      <c r="U40" s="146"/>
      <c r="AI40" s="52">
        <f>MIN(AI35:AI38)</f>
        <v>0</v>
      </c>
      <c r="AJ40" s="52">
        <f>MIN(AJ35:AJ38)</f>
        <v>0</v>
      </c>
    </row>
    <row r="41" spans="1:51" x14ac:dyDescent="0.2">
      <c r="A41" s="60"/>
      <c r="B41" s="61"/>
      <c r="C41" s="60"/>
      <c r="D41" s="62"/>
      <c r="E41" s="126"/>
      <c r="F41" s="106"/>
      <c r="G41" s="106"/>
      <c r="H41" s="63"/>
      <c r="I41" s="218"/>
      <c r="J41" s="219"/>
      <c r="K41" s="219"/>
      <c r="U41" s="146"/>
      <c r="V41" s="147"/>
      <c r="W41" s="147"/>
      <c r="X41" s="148"/>
      <c r="Y41" s="146"/>
      <c r="Z41" s="146"/>
      <c r="AA41" s="148"/>
      <c r="AB41" s="146"/>
      <c r="AC41" s="148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8"/>
      <c r="AO41" s="148"/>
      <c r="AP41" s="149"/>
      <c r="AQ41" s="150"/>
      <c r="AR41" s="151"/>
      <c r="AS41" s="151"/>
      <c r="AT41" s="151"/>
      <c r="AU41" s="151"/>
      <c r="AV41" s="203"/>
      <c r="AW41" s="203"/>
      <c r="AX41" s="203"/>
      <c r="AY41" s="204"/>
    </row>
    <row r="42" spans="1:51" ht="41.25" customHeight="1" x14ac:dyDescent="0.2">
      <c r="B42" s="364"/>
      <c r="C42" s="363"/>
      <c r="D42" s="363"/>
      <c r="E42" s="363"/>
      <c r="F42" s="363"/>
      <c r="G42" s="363"/>
      <c r="I42" s="364"/>
      <c r="J42" s="363"/>
      <c r="K42" s="363"/>
      <c r="L42" s="363"/>
      <c r="M42" s="363"/>
      <c r="N42" s="363"/>
      <c r="O42" s="363"/>
      <c r="P42" s="363"/>
      <c r="Q42" s="363"/>
      <c r="V42" s="52"/>
      <c r="W42" s="52"/>
      <c r="X42" s="52"/>
      <c r="AA42" s="52"/>
      <c r="AC42" s="52"/>
      <c r="AE42" s="53"/>
      <c r="AF42" s="53"/>
      <c r="AG42" s="54"/>
      <c r="AH42" s="55"/>
      <c r="AI42" s="56"/>
      <c r="AJ42" s="56"/>
      <c r="AK42" s="56"/>
      <c r="AL42" s="56"/>
      <c r="AM42" s="57"/>
      <c r="AN42" s="57"/>
      <c r="AO42" s="57"/>
      <c r="AP42" s="57"/>
      <c r="AQ42" s="57"/>
      <c r="AR42" s="57"/>
      <c r="AS42" s="57"/>
      <c r="AT42" s="57"/>
      <c r="AU42" s="57"/>
    </row>
    <row r="45" spans="1:51" ht="12.75" customHeight="1" x14ac:dyDescent="0.2">
      <c r="A45" s="358" t="str">
        <f>INDEX(T,5,lang)</f>
        <v>Чорак финал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9"/>
    </row>
    <row r="46" spans="1:51" ht="12.75" customHeight="1" x14ac:dyDescent="0.2">
      <c r="A46" s="338"/>
      <c r="B46" s="339"/>
      <c r="C46" s="339"/>
      <c r="D46" s="339"/>
      <c r="E46" s="339"/>
      <c r="F46" s="339"/>
      <c r="G46" s="339"/>
      <c r="H46" s="339"/>
      <c r="I46" s="339"/>
      <c r="J46" s="339"/>
      <c r="K46" s="340"/>
    </row>
    <row r="47" spans="1:51" ht="12.75" customHeight="1" x14ac:dyDescent="0.2">
      <c r="A47" s="184"/>
      <c r="B47" s="168"/>
      <c r="C47" s="168"/>
      <c r="D47" s="168"/>
      <c r="E47" s="168"/>
      <c r="F47" s="360" t="str">
        <f>INDEX(T,79,lang)</f>
        <v>Асосий вақт</v>
      </c>
      <c r="G47" s="361"/>
      <c r="H47" s="168"/>
      <c r="I47" s="95"/>
      <c r="J47" s="360" t="str">
        <f>INDEX(T,80,lang)</f>
        <v>Қўш. вақт</v>
      </c>
      <c r="K47" s="362"/>
      <c r="M47" s="202"/>
      <c r="N47" s="202"/>
      <c r="O47" s="202"/>
      <c r="P47" s="202"/>
      <c r="Q47" s="202"/>
      <c r="R47" s="202"/>
    </row>
    <row r="48" spans="1:51" ht="15.75" customHeight="1" x14ac:dyDescent="0.2">
      <c r="A48" s="185">
        <v>25</v>
      </c>
      <c r="B48" s="79" t="str">
        <f>INDEX(T,18+INT(MOD(U48-1,7)),lang)</f>
        <v>Пай</v>
      </c>
      <c r="C48" s="80" t="str">
        <f>INDEX(T,24+MONTH(U48),lang) &amp; " " &amp; DAY(U48) &amp; ", " &amp; YEAR(U48)</f>
        <v>Янв 22, 2015</v>
      </c>
      <c r="D48" s="81">
        <f>TIME(HOUR(U48),MINUTE(U48),0)</f>
        <v>0.52083333333333337</v>
      </c>
      <c r="E48" s="82" t="str">
        <f>AP17</f>
        <v>1A</v>
      </c>
      <c r="F48" s="98"/>
      <c r="G48" s="99"/>
      <c r="H48" s="84" t="str">
        <f>AP24</f>
        <v>2B</v>
      </c>
      <c r="I48" s="85" t="str">
        <f>INDEX(T,103,lang)</f>
        <v>Мельбурн</v>
      </c>
      <c r="J48" s="98"/>
      <c r="K48" s="175"/>
      <c r="M48" s="202"/>
      <c r="N48" s="202"/>
      <c r="O48" s="202"/>
      <c r="P48" s="202"/>
      <c r="Q48" s="202"/>
      <c r="R48" s="202"/>
      <c r="U48" s="52">
        <f>DATE(2015,1,21)+TIME(20,30,0)+gmt_delta</f>
        <v>42026.520833333328</v>
      </c>
      <c r="V48" s="58" t="str">
        <f>IF(OR(F48="",G48=""),"",IF(F48&gt;G48,E48,IF(F48&lt;G48,H48,IF(OR(J48="",K48=""),"draw",IF(J48&gt;K48,E48,IF(J48&lt;K48,H48,"draw"))))))</f>
        <v/>
      </c>
      <c r="W48" s="58" t="str">
        <f>IF(OR(V48="",V48="draw"),INDEX(T,86,lang),V48)</f>
        <v>W25</v>
      </c>
    </row>
    <row r="49" spans="1:27" ht="15.75" customHeight="1" x14ac:dyDescent="0.2">
      <c r="A49" s="128">
        <v>26</v>
      </c>
      <c r="B49" s="72" t="str">
        <f>INDEX(T,18+INT(MOD(U49-1,7)),lang)</f>
        <v>Пай</v>
      </c>
      <c r="C49" s="73" t="str">
        <f>INDEX(T,24+MONTH(U49),lang) &amp; " " &amp; DAY(U49) &amp; ", " &amp; YEAR(U49)</f>
        <v>Янв 22, 2015</v>
      </c>
      <c r="D49" s="74">
        <f>TIME(HOUR(U49),MINUTE(U49),0)</f>
        <v>0.64583333333333337</v>
      </c>
      <c r="E49" s="83" t="str">
        <f>AP23</f>
        <v>1B</v>
      </c>
      <c r="F49" s="96"/>
      <c r="G49" s="97"/>
      <c r="H49" s="86" t="str">
        <f>AP18</f>
        <v>2A</v>
      </c>
      <c r="I49" s="87" t="str">
        <f>INDEX(T,106,lang)</f>
        <v>Брисбен</v>
      </c>
      <c r="J49" s="96"/>
      <c r="K49" s="176"/>
      <c r="M49" s="202"/>
      <c r="N49" s="202"/>
      <c r="O49" s="202"/>
      <c r="P49" s="202"/>
      <c r="Q49" s="202"/>
      <c r="R49" s="202"/>
      <c r="U49" s="52">
        <f>DATE(2015,1,21)+TIME(23,30,0)+gmt_delta</f>
        <v>42026.645833333328</v>
      </c>
      <c r="V49" s="58" t="str">
        <f>IF(OR(F50="",G50=""),"",IF(F50&gt;G50,E50,IF(F50&lt;G50,H50,IF(OR(J50="",K50=""),"draw",IF(J50&gt;K50,E50,IF(J50&lt;K50,H50,"draw"))))))</f>
        <v/>
      </c>
      <c r="W49" s="58" t="str">
        <f>IF(OR(V49="",V49="draw"),INDEX(T,87,lang),V49)</f>
        <v>W27</v>
      </c>
    </row>
    <row r="50" spans="1:27" ht="15.75" customHeight="1" x14ac:dyDescent="0.2">
      <c r="A50" s="128">
        <v>27</v>
      </c>
      <c r="B50" s="72" t="str">
        <f>INDEX(T,18+INT(MOD(U50-1,7)),lang)</f>
        <v>Жума</v>
      </c>
      <c r="C50" s="73" t="str">
        <f>INDEX(T,24+MONTH(U50),lang) &amp; " " &amp; DAY(U50) &amp; ", " &amp; YEAR(U50)</f>
        <v>Янв 23, 2015</v>
      </c>
      <c r="D50" s="74">
        <f>TIME(HOUR(U50),MINUTE(U50),0)</f>
        <v>0.47916666666666669</v>
      </c>
      <c r="E50" s="83" t="str">
        <f>AP29</f>
        <v>1C</v>
      </c>
      <c r="F50" s="96"/>
      <c r="G50" s="97"/>
      <c r="H50" s="86" t="str">
        <f>AP36</f>
        <v>2D</v>
      </c>
      <c r="I50" s="87" t="str">
        <f>INDEX(T,104,lang)</f>
        <v>Канберра</v>
      </c>
      <c r="J50" s="96"/>
      <c r="K50" s="176"/>
      <c r="N50" s="24"/>
      <c r="O50" s="24"/>
      <c r="P50" s="24"/>
      <c r="Q50" s="24"/>
      <c r="R50" s="24"/>
      <c r="U50" s="52">
        <f>DATE(2015,1,22)+TIME(19,30,0)+gmt_delta</f>
        <v>42027.479166666664</v>
      </c>
      <c r="V50" s="58" t="str">
        <f>IF(OR(F49="",G49=""),"",IF(F49&gt;G49,E49,IF(F49&lt;G49,H49,IF(OR(J49="",K49=""),"draw",IF(J49&gt;K49,E49,IF(J49&lt;K49,H49,"draw"))))))</f>
        <v/>
      </c>
      <c r="W50" s="58" t="str">
        <f>IF(OR(V50="",V50="draw"),INDEX(T,88,lang),V50)</f>
        <v>W26</v>
      </c>
    </row>
    <row r="51" spans="1:27" ht="15.75" customHeight="1" x14ac:dyDescent="0.2">
      <c r="A51" s="186">
        <v>28</v>
      </c>
      <c r="B51" s="177" t="str">
        <f>INDEX(T,18+INT(MOD(U51-1,7)),lang)</f>
        <v>Жума</v>
      </c>
      <c r="C51" s="76" t="str">
        <f>INDEX(T,24+MONTH(U51),lang) &amp; " " &amp; DAY(U51) &amp; ", " &amp; YEAR(U51)</f>
        <v>Янв 23, 2015</v>
      </c>
      <c r="D51" s="77">
        <f>TIME(HOUR(U51),MINUTE(U51),0)</f>
        <v>0.60416666666666663</v>
      </c>
      <c r="E51" s="178" t="str">
        <f>AP35</f>
        <v>1D</v>
      </c>
      <c r="F51" s="179"/>
      <c r="G51" s="180"/>
      <c r="H51" s="181" t="str">
        <f>AP30</f>
        <v>2C</v>
      </c>
      <c r="I51" s="182" t="str">
        <f>INDEX(T,105,lang)</f>
        <v>Сидней</v>
      </c>
      <c r="J51" s="179"/>
      <c r="K51" s="183"/>
      <c r="N51" s="276" t="str">
        <f>INDEX(T,150,lang)</f>
        <v>Ҳамкорларимиз:</v>
      </c>
      <c r="O51" s="276"/>
      <c r="P51" s="276"/>
      <c r="Q51" s="276"/>
      <c r="R51" s="276"/>
      <c r="U51" s="52">
        <f>DATE(2015,1,22)+TIME(22,30,0)+gmt_delta</f>
        <v>42027.604166666664</v>
      </c>
      <c r="V51" s="58" t="str">
        <f>IF(OR(F51="",G51=""),"",IF(F51&gt;G51,E51,IF(F51&lt;G51,H51,IF(OR(J51="",K51=""),"draw",IF(J51&gt;K51,E51,IF(J51&lt;K51,H51,"draw"))))))</f>
        <v/>
      </c>
      <c r="W51" s="58" t="str">
        <f>IF(OR(V51="",V51="draw"),INDEX(T,89,lang),V51)</f>
        <v>W28</v>
      </c>
    </row>
    <row r="52" spans="1:27" ht="12.75" customHeight="1" thickBot="1" x14ac:dyDescent="0.25">
      <c r="A52" s="107"/>
      <c r="B52" s="108"/>
      <c r="C52" s="107"/>
      <c r="D52" s="109"/>
      <c r="E52" s="110"/>
      <c r="F52" s="111"/>
      <c r="G52" s="111"/>
      <c r="H52" s="112"/>
      <c r="I52" s="113"/>
      <c r="J52" s="111"/>
      <c r="K52" s="111"/>
      <c r="N52" s="277"/>
      <c r="O52" s="277"/>
      <c r="P52" s="277"/>
      <c r="Q52" s="277"/>
      <c r="R52" s="277"/>
    </row>
    <row r="53" spans="1:27" ht="12.75" customHeight="1" thickTop="1" x14ac:dyDescent="0.2">
      <c r="A53" s="60"/>
      <c r="B53" s="61"/>
      <c r="C53" s="60"/>
      <c r="D53" s="62"/>
      <c r="E53" s="65"/>
      <c r="F53" s="106"/>
      <c r="G53" s="106"/>
      <c r="H53" s="114"/>
      <c r="I53" s="64"/>
      <c r="J53" s="106"/>
      <c r="K53" s="106"/>
      <c r="M53" s="243"/>
      <c r="N53" s="243"/>
      <c r="O53" s="243"/>
      <c r="P53" s="243"/>
      <c r="Q53" s="243"/>
      <c r="R53" s="243"/>
    </row>
    <row r="54" spans="1:27" ht="12.75" customHeight="1" x14ac:dyDescent="0.2">
      <c r="A54" s="60"/>
      <c r="B54" s="61"/>
      <c r="C54" s="60"/>
      <c r="D54" s="62"/>
      <c r="E54" s="65"/>
      <c r="F54" s="106"/>
      <c r="G54" s="106"/>
      <c r="H54" s="114"/>
      <c r="I54" s="64"/>
      <c r="J54" s="106"/>
      <c r="K54" s="106"/>
      <c r="M54" s="243"/>
      <c r="N54" s="243"/>
      <c r="O54" s="243"/>
      <c r="P54" s="243"/>
      <c r="Q54" s="243"/>
      <c r="R54" s="243"/>
    </row>
    <row r="55" spans="1:27" ht="12.75" customHeight="1" x14ac:dyDescent="0.2">
      <c r="A55" s="353" t="str">
        <f>INDEX(T,6,lang)</f>
        <v>Ярим финал</v>
      </c>
      <c r="B55" s="354"/>
      <c r="C55" s="354"/>
      <c r="D55" s="354"/>
      <c r="E55" s="354"/>
      <c r="F55" s="354"/>
      <c r="G55" s="354"/>
      <c r="H55" s="354"/>
      <c r="I55" s="354"/>
      <c r="J55" s="354"/>
      <c r="K55" s="355"/>
    </row>
    <row r="56" spans="1:27" ht="12.75" customHeight="1" x14ac:dyDescent="0.2">
      <c r="A56" s="356"/>
      <c r="B56" s="339"/>
      <c r="C56" s="339"/>
      <c r="D56" s="339"/>
      <c r="E56" s="339"/>
      <c r="F56" s="339"/>
      <c r="G56" s="339"/>
      <c r="H56" s="339"/>
      <c r="I56" s="339"/>
      <c r="J56" s="339"/>
      <c r="K56" s="357"/>
      <c r="S56" s="24"/>
    </row>
    <row r="57" spans="1:27" ht="16.5" customHeight="1" x14ac:dyDescent="0.2">
      <c r="A57" s="78">
        <v>29</v>
      </c>
      <c r="B57" s="88" t="str">
        <f>INDEX(T,18+INT(MOD(U57-1,7)),lang)</f>
        <v>Душ</v>
      </c>
      <c r="C57" s="80" t="str">
        <f>INDEX(T,24+MONTH(U57),lang) &amp; " " &amp; DAY(U57) &amp; ", " &amp; YEAR(U57)</f>
        <v>Янв 26, 2015</v>
      </c>
      <c r="D57" s="81">
        <f>TIME(HOUR(U57),MINUTE(U57),0)</f>
        <v>0.58333333333333337</v>
      </c>
      <c r="E57" s="105" t="str">
        <f>W48</f>
        <v>W25</v>
      </c>
      <c r="F57" s="48"/>
      <c r="G57" s="49"/>
      <c r="H57" s="133" t="str">
        <f>W49</f>
        <v>W27</v>
      </c>
      <c r="I57" s="90" t="str">
        <f>INDEX(T,105,lang)</f>
        <v>Сидней</v>
      </c>
      <c r="J57" s="48"/>
      <c r="K57" s="49"/>
      <c r="S57" s="24"/>
      <c r="U57" s="52">
        <f>DATE(2015,1,25)+TIME(22,0,0)+gmt_delta</f>
        <v>42030.583333333328</v>
      </c>
      <c r="V57" s="58" t="str">
        <f>IF(OR(F57="",G57=""),"",IF(F57&gt;G57,E57,IF(F57&lt;G57,H57,IF(OR(J57="",K57=""),"draw",IF(J57&gt;K57,E57,IF(J57&lt;K57,H57,"draw"))))))</f>
        <v/>
      </c>
      <c r="W57" s="58" t="str">
        <f>IF(OR(V57="",V57="draw"),INDEX(T,94,lang),V57)</f>
        <v>Сариқ &gt; қизил</v>
      </c>
    </row>
    <row r="58" spans="1:27" ht="16.5" customHeight="1" x14ac:dyDescent="0.2">
      <c r="A58" s="116">
        <v>30</v>
      </c>
      <c r="B58" s="117" t="str">
        <f>INDEX(T,18+INT(MOD(U58-1,7)),lang)</f>
        <v>Сеш</v>
      </c>
      <c r="C58" s="118" t="str">
        <f>INDEX(T,24+MONTH(U58),lang) &amp; " " &amp; DAY(U58) &amp; ", " &amp; YEAR(U58)</f>
        <v>Янв 27, 2015</v>
      </c>
      <c r="D58" s="119">
        <f>TIME(HOUR(U58),MINUTE(U58),0)</f>
        <v>0.58333333333333337</v>
      </c>
      <c r="E58" s="120" t="str">
        <f>W50</f>
        <v>W26</v>
      </c>
      <c r="F58" s="121"/>
      <c r="G58" s="122"/>
      <c r="H58" s="123" t="str">
        <f>W51</f>
        <v>W28</v>
      </c>
      <c r="I58" s="124" t="str">
        <f>INDEX(T,107,lang)</f>
        <v>Ньюкасл</v>
      </c>
      <c r="J58" s="121"/>
      <c r="K58" s="122"/>
      <c r="S58" s="24"/>
      <c r="U58" s="52">
        <f>DATE(2015,1,26)+TIME(22,0,0)+gmt_delta</f>
        <v>42031.583333333328</v>
      </c>
      <c r="V58" s="58" t="str">
        <f>IF(OR(F58="",G58=""),"",IF(F58&gt;G58,E58,IF(F58&lt;G58,H58,IF(OR(J58="",K58=""),"draw",IF(J58&gt;K58,E58,IF(J58&lt;K58,H58,"draw"))))))</f>
        <v/>
      </c>
      <c r="W58" s="58">
        <f>IF(OR(V58="",V58="draw"),INDEX(T,96,lang),V58)</f>
        <v>0</v>
      </c>
    </row>
    <row r="59" spans="1:27" ht="12.75" customHeight="1" x14ac:dyDescent="0.2">
      <c r="V59" s="58" t="str">
        <f>IF(OR(F57="",G57=""),"",IF(F57&gt;G57,E57,IF(F57&lt;G57,H57,IF(OR(J57="",K57=""),"draw",IF(J57&gt;K57,E57,IF(J57&lt;K57,H57,"draw"))))))</f>
        <v/>
      </c>
      <c r="W59" s="58" t="str">
        <f>IF(OR(V59="",V59="draw"),INDEX(T,98,lang),V59)</f>
        <v>W29</v>
      </c>
      <c r="X59" s="58" t="str">
        <f>IF(OR(F57="",G57=""),"",IF(F57&lt;G57,E57,IF(F57&gt;G57,H57,IF(OR(J57="",K57=""),"draw",IF(J57&lt;K57,E57,IF(J57&gt;K57,H57,"draw"))))))</f>
        <v/>
      </c>
      <c r="AA59" s="58" t="str">
        <f>IF(OR(X59="",X59="draw"),INDEX(T,100,lang),X59)</f>
        <v>L29</v>
      </c>
    </row>
    <row r="60" spans="1:27" ht="12.75" customHeight="1" x14ac:dyDescent="0.2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V60" s="58" t="str">
        <f>IF(OR(F58="",G58=""),"",IF(F58&gt;G58,E58,IF(F58&lt;G58,H58,IF(OR(J58="",K58=""),"draw",IF(J58&gt;K58,E58,IF(J58&lt;K58,H58,"draw"))))))</f>
        <v/>
      </c>
      <c r="W60" s="58" t="str">
        <f>IF(OR(V60="",V60="draw"),INDEX(T,99,lang),V60)</f>
        <v>W30</v>
      </c>
      <c r="X60" s="58" t="str">
        <f>IF(OR(F58="",G58=""),"",IF(F58&lt;G58,E58,IF(F58&gt;G58,H58,IF(OR(J58="",K58=""),"draw",IF(J58&lt;K58,E58,IF(J58&gt;K58,H58,"draw"))))))</f>
        <v/>
      </c>
      <c r="AA60" s="58" t="str">
        <f>IF(OR(X60="",X60="draw"),INDEX(T,101,lang),X60)</f>
        <v>L30</v>
      </c>
    </row>
    <row r="61" spans="1:27" ht="12.75" customHeight="1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X61" s="58"/>
      <c r="AA61" s="58"/>
    </row>
    <row r="62" spans="1:27" x14ac:dyDescent="0.2">
      <c r="A62" s="353" t="str">
        <f>INDEX(T,7,lang)</f>
        <v>3-ўрин учун баҳс</v>
      </c>
      <c r="B62" s="354"/>
      <c r="C62" s="354"/>
      <c r="D62" s="354"/>
      <c r="E62" s="354"/>
      <c r="F62" s="354"/>
      <c r="G62" s="354"/>
      <c r="H62" s="354"/>
      <c r="I62" s="354"/>
      <c r="J62" s="354"/>
      <c r="K62" s="355"/>
    </row>
    <row r="63" spans="1:27" ht="12.75" customHeight="1" x14ac:dyDescent="0.2">
      <c r="A63" s="356"/>
      <c r="B63" s="339"/>
      <c r="C63" s="339"/>
      <c r="D63" s="339"/>
      <c r="E63" s="339"/>
      <c r="F63" s="339"/>
      <c r="G63" s="339"/>
      <c r="H63" s="339"/>
      <c r="I63" s="339"/>
      <c r="J63" s="339"/>
      <c r="K63" s="357"/>
    </row>
    <row r="64" spans="1:27" ht="18" customHeight="1" x14ac:dyDescent="0.2">
      <c r="A64" s="75">
        <v>31</v>
      </c>
      <c r="B64" s="89" t="str">
        <f>INDEX(T,18+INT(MOD(U64-1,7)),lang)</f>
        <v>Жума</v>
      </c>
      <c r="C64" s="76" t="str">
        <f>INDEX(T,24+MONTH(U64),lang) &amp; " " &amp; DAY(U64) &amp; ", " &amp; YEAR(U64)</f>
        <v>Янв 30, 2015</v>
      </c>
      <c r="D64" s="77">
        <f>TIME(HOUR(U64),MINUTE(U64),0)</f>
        <v>0.58333333333333337</v>
      </c>
      <c r="E64" s="103" t="str">
        <f>AA59</f>
        <v>L29</v>
      </c>
      <c r="F64" s="50"/>
      <c r="G64" s="51"/>
      <c r="H64" s="104" t="str">
        <f>AA60</f>
        <v>L30</v>
      </c>
      <c r="I64" s="91" t="str">
        <f>INDEX(T,107,lang)</f>
        <v>Ньюкасл</v>
      </c>
      <c r="J64" s="50"/>
      <c r="K64" s="51"/>
      <c r="U64" s="52">
        <f>DATE(2015,1,29)+TIME(22,0,0)+gmt_delta</f>
        <v>42034.583333333328</v>
      </c>
      <c r="W64" s="58" t="str">
        <f>IF(OR(F64="",G64=""),"",IF(F64&gt;G64,E64,IF(F64&lt;G64,H64,IF(OR(J64="",K64=""),"",IF(J64&gt;K64,E64,IF(J64&lt;K64,H64,""))))))</f>
        <v/>
      </c>
    </row>
    <row r="65" spans="1:47" x14ac:dyDescent="0.2">
      <c r="U65" s="52">
        <f>DATE(2015,1,30)+TIME(22,0,0)+gmt_delta</f>
        <v>42035.583333333328</v>
      </c>
      <c r="V65" s="58" t="str">
        <f>IF(OR(F70="",G70=""),"",IF(F70&gt;G70,E70,IF(F70&lt;G70,H70,IF(OR(J70="",K70=""),"",IF(J70&gt;K70,E70,IF(J70&lt;K70,H70,""))))))</f>
        <v/>
      </c>
      <c r="W65" s="58" t="str">
        <f>V65</f>
        <v/>
      </c>
    </row>
    <row r="68" spans="1:47" x14ac:dyDescent="0.2">
      <c r="A68" s="353" t="str">
        <f>INDEX(T,8,lang)</f>
        <v>Финал</v>
      </c>
      <c r="B68" s="354"/>
      <c r="C68" s="354"/>
      <c r="D68" s="354"/>
      <c r="E68" s="354"/>
      <c r="F68" s="354"/>
      <c r="G68" s="354"/>
      <c r="H68" s="354"/>
      <c r="I68" s="354"/>
      <c r="J68" s="354"/>
      <c r="K68" s="355"/>
      <c r="U68" s="152"/>
      <c r="V68" s="147"/>
      <c r="W68" s="147"/>
      <c r="X68" s="148"/>
      <c r="Y68" s="146"/>
      <c r="Z68" s="146"/>
      <c r="AA68" s="148"/>
      <c r="AB68" s="146"/>
      <c r="AC68" s="148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8"/>
      <c r="AO68" s="148"/>
      <c r="AP68" s="149"/>
      <c r="AQ68" s="150"/>
      <c r="AR68" s="151"/>
      <c r="AS68" s="151"/>
      <c r="AT68" s="151"/>
      <c r="AU68" s="151"/>
    </row>
    <row r="69" spans="1:47" ht="12.75" customHeight="1" x14ac:dyDescent="0.2">
      <c r="A69" s="356"/>
      <c r="B69" s="339"/>
      <c r="C69" s="339"/>
      <c r="D69" s="339"/>
      <c r="E69" s="339"/>
      <c r="F69" s="339"/>
      <c r="G69" s="339"/>
      <c r="H69" s="339"/>
      <c r="I69" s="339"/>
      <c r="J69" s="339"/>
      <c r="K69" s="357"/>
      <c r="U69" s="152"/>
      <c r="V69" s="147"/>
      <c r="W69" s="147"/>
      <c r="X69" s="148"/>
      <c r="Y69" s="146"/>
      <c r="Z69" s="146"/>
      <c r="AA69" s="148"/>
      <c r="AB69" s="146"/>
      <c r="AC69" s="148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8"/>
      <c r="AO69" s="148"/>
      <c r="AP69" s="149"/>
      <c r="AQ69" s="150"/>
      <c r="AR69" s="151"/>
      <c r="AS69" s="151"/>
      <c r="AT69" s="151"/>
      <c r="AU69" s="151"/>
    </row>
    <row r="70" spans="1:47" ht="16.5" customHeight="1" x14ac:dyDescent="0.2">
      <c r="A70" s="75">
        <v>32</v>
      </c>
      <c r="B70" s="89" t="str">
        <f>INDEX(T,18+INT(MOD(U65-1,7)),lang)</f>
        <v>Шанба</v>
      </c>
      <c r="C70" s="76" t="str">
        <f>INDEX(T,24+MONTH(U65),lang) &amp; " " &amp; DAY(U65) &amp; ", " &amp; YEAR(U65)</f>
        <v>Янв 31, 2015</v>
      </c>
      <c r="D70" s="77">
        <f>TIME(HOUR(U65),MINUTE(U65),0)</f>
        <v>0.58333333333333337</v>
      </c>
      <c r="E70" s="103" t="str">
        <f>W59</f>
        <v>W29</v>
      </c>
      <c r="F70" s="50"/>
      <c r="G70" s="51"/>
      <c r="H70" s="104" t="str">
        <f>W60</f>
        <v>W30</v>
      </c>
      <c r="I70" s="91" t="str">
        <f>INDEX(T,105,lang)</f>
        <v>Сидней</v>
      </c>
      <c r="J70" s="50"/>
      <c r="K70" s="51"/>
      <c r="U70" s="152"/>
      <c r="V70" s="147"/>
      <c r="W70" s="147"/>
      <c r="X70" s="148"/>
      <c r="Y70" s="146"/>
      <c r="Z70" s="146"/>
      <c r="AA70" s="148"/>
      <c r="AB70" s="146"/>
      <c r="AC70" s="148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8"/>
      <c r="AO70" s="148"/>
      <c r="AP70" s="149"/>
      <c r="AQ70" s="150"/>
      <c r="AR70" s="151"/>
      <c r="AS70" s="151"/>
      <c r="AT70" s="151"/>
      <c r="AU70" s="151"/>
    </row>
    <row r="71" spans="1:47" ht="16.5" customHeight="1" x14ac:dyDescent="0.2">
      <c r="A71" s="220"/>
      <c r="B71" s="221"/>
      <c r="C71" s="220"/>
      <c r="D71" s="222"/>
      <c r="E71" s="223"/>
      <c r="F71" s="224"/>
      <c r="G71" s="224"/>
      <c r="H71" s="225"/>
      <c r="I71" s="226"/>
      <c r="J71" s="224"/>
      <c r="K71" s="224"/>
      <c r="U71" s="152"/>
      <c r="V71" s="147"/>
      <c r="W71" s="147"/>
      <c r="X71" s="148"/>
      <c r="Y71" s="146"/>
      <c r="Z71" s="146"/>
      <c r="AA71" s="148"/>
      <c r="AB71" s="146"/>
      <c r="AC71" s="148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8"/>
      <c r="AO71" s="148"/>
      <c r="AP71" s="149"/>
      <c r="AQ71" s="150"/>
      <c r="AR71" s="151"/>
      <c r="AS71" s="151"/>
      <c r="AT71" s="151"/>
      <c r="AU71" s="151"/>
    </row>
    <row r="72" spans="1:47" x14ac:dyDescent="0.2">
      <c r="U72" s="152"/>
      <c r="V72" s="147"/>
      <c r="W72" s="147"/>
      <c r="X72" s="148"/>
      <c r="Y72" s="146"/>
      <c r="Z72" s="146"/>
      <c r="AA72" s="148"/>
      <c r="AB72" s="146"/>
      <c r="AC72" s="148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8"/>
      <c r="AO72" s="148"/>
      <c r="AP72" s="149"/>
      <c r="AQ72" s="150"/>
      <c r="AR72" s="151"/>
      <c r="AS72" s="151"/>
      <c r="AT72" s="151"/>
      <c r="AU72" s="151"/>
    </row>
    <row r="73" spans="1:47" ht="13.5" thickBot="1" x14ac:dyDescent="0.25">
      <c r="U73" s="152"/>
      <c r="V73" s="147"/>
      <c r="W73" s="147"/>
      <c r="X73" s="148"/>
      <c r="Y73" s="146"/>
      <c r="Z73" s="146"/>
      <c r="AA73" s="148"/>
      <c r="AB73" s="146"/>
      <c r="AC73" s="148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8"/>
      <c r="AO73" s="148"/>
      <c r="AP73" s="149"/>
      <c r="AQ73" s="150"/>
      <c r="AR73" s="151"/>
      <c r="AS73" s="151"/>
      <c r="AT73" s="151"/>
      <c r="AU73" s="151"/>
    </row>
    <row r="74" spans="1:47" x14ac:dyDescent="0.2">
      <c r="A74" s="345" t="str">
        <f>INDEX(T,102,lang)</f>
        <v>2015 йилги Осиё Кубоги соҳиби</v>
      </c>
      <c r="B74" s="345"/>
      <c r="C74" s="345"/>
      <c r="D74" s="345"/>
      <c r="E74" s="345"/>
      <c r="F74" s="347" t="str">
        <f>V65</f>
        <v/>
      </c>
      <c r="G74" s="348"/>
      <c r="H74" s="348"/>
      <c r="I74" s="348"/>
      <c r="J74" s="348"/>
      <c r="K74" s="349"/>
      <c r="V74" s="147"/>
      <c r="W74" s="147"/>
      <c r="X74" s="148"/>
      <c r="Y74" s="146"/>
      <c r="Z74" s="146"/>
      <c r="AA74" s="148"/>
      <c r="AB74" s="146"/>
      <c r="AC74" s="148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8"/>
      <c r="AO74" s="148"/>
      <c r="AP74" s="149"/>
      <c r="AQ74" s="150"/>
      <c r="AR74" s="151"/>
      <c r="AS74" s="151"/>
      <c r="AT74" s="151"/>
      <c r="AU74" s="151"/>
    </row>
    <row r="75" spans="1:47" ht="13.5" thickBot="1" x14ac:dyDescent="0.25">
      <c r="A75" s="346"/>
      <c r="B75" s="346"/>
      <c r="C75" s="346"/>
      <c r="D75" s="346"/>
      <c r="E75" s="346"/>
      <c r="F75" s="350"/>
      <c r="G75" s="351"/>
      <c r="H75" s="351"/>
      <c r="I75" s="351"/>
      <c r="J75" s="351"/>
      <c r="K75" s="352"/>
    </row>
    <row r="80" spans="1:47" ht="12.75" customHeight="1" x14ac:dyDescent="0.2"/>
    <row r="81" ht="12.75" customHeight="1" x14ac:dyDescent="0.2"/>
  </sheetData>
  <sheetProtection password="8516" sheet="1" objects="1" scenarios="1"/>
  <mergeCells count="57">
    <mergeCell ref="A1:S1"/>
    <mergeCell ref="A14:K15"/>
    <mergeCell ref="C12:F12"/>
    <mergeCell ref="P12:S12"/>
    <mergeCell ref="A74:E75"/>
    <mergeCell ref="F74:K75"/>
    <mergeCell ref="A62:K63"/>
    <mergeCell ref="A68:K69"/>
    <mergeCell ref="A55:K56"/>
    <mergeCell ref="A45:K46"/>
    <mergeCell ref="F47:G47"/>
    <mergeCell ref="J47:K47"/>
    <mergeCell ref="F42:G42"/>
    <mergeCell ref="B42:E42"/>
    <mergeCell ref="I42:O42"/>
    <mergeCell ref="P42:Q42"/>
    <mergeCell ref="I39:K39"/>
    <mergeCell ref="I30:K30"/>
    <mergeCell ref="I28:K28"/>
    <mergeCell ref="I36:K36"/>
    <mergeCell ref="I35:K35"/>
    <mergeCell ref="I37:K37"/>
    <mergeCell ref="I38:K38"/>
    <mergeCell ref="I31:K31"/>
    <mergeCell ref="I34:K34"/>
    <mergeCell ref="I32:K32"/>
    <mergeCell ref="I33:K33"/>
    <mergeCell ref="I29:K29"/>
    <mergeCell ref="I25:K25"/>
    <mergeCell ref="I21:K21"/>
    <mergeCell ref="I23:K23"/>
    <mergeCell ref="I24:K24"/>
    <mergeCell ref="I18:K18"/>
    <mergeCell ref="I20:K20"/>
    <mergeCell ref="I17:K17"/>
    <mergeCell ref="E7:G7"/>
    <mergeCell ref="E8:G9"/>
    <mergeCell ref="E10:G10"/>
    <mergeCell ref="I7:L9"/>
    <mergeCell ref="H10:L10"/>
    <mergeCell ref="I16:K16"/>
    <mergeCell ref="N51:R52"/>
    <mergeCell ref="I26:K26"/>
    <mergeCell ref="I27:K27"/>
    <mergeCell ref="C2:Q2"/>
    <mergeCell ref="A3:S3"/>
    <mergeCell ref="A2:B2"/>
    <mergeCell ref="R2:S2"/>
    <mergeCell ref="P7:S7"/>
    <mergeCell ref="P8:S9"/>
    <mergeCell ref="P10:S10"/>
    <mergeCell ref="M7:O7"/>
    <mergeCell ref="A9:D10"/>
    <mergeCell ref="A5:S5"/>
    <mergeCell ref="M14:S15"/>
    <mergeCell ref="I19:K19"/>
    <mergeCell ref="I22:K22"/>
  </mergeCells>
  <phoneticPr fontId="2" type="noConversion"/>
  <conditionalFormatting sqref="F64 F70:F71 F57:F58 F49:F54 F40:F41">
    <cfRule type="expression" dxfId="56" priority="53" stopIfTrue="1">
      <formula>IF(AND($F40&gt;$G40,ISNUMBER($F40),ISNUMBER($G40)),1,0)</formula>
    </cfRule>
  </conditionalFormatting>
  <conditionalFormatting sqref="G64 G70:G71 G57:G58 G49:G54 G40:G41">
    <cfRule type="expression" dxfId="55" priority="54" stopIfTrue="1">
      <formula>IF(AND($F40&lt;$G40,ISNUMBER($F40),ISNUMBER($G40)),1,0)</formula>
    </cfRule>
  </conditionalFormatting>
  <conditionalFormatting sqref="M24:S24 M18:S18 M30:S30 M36:S36">
    <cfRule type="expression" dxfId="54" priority="61" stopIfTrue="1">
      <formula>IF(SUM($N18:$N21)=12,1,0)</formula>
    </cfRule>
  </conditionalFormatting>
  <conditionalFormatting sqref="M25:S25 M19:S19 M31:S31 M37:S37">
    <cfRule type="expression" dxfId="53" priority="62" stopIfTrue="1">
      <formula>IF(SUM($N18:$N21)=12,1,0)</formula>
    </cfRule>
  </conditionalFormatting>
  <conditionalFormatting sqref="M27:S27 M21:S21 M33:S33 M39:S39">
    <cfRule type="expression" dxfId="52" priority="64" stopIfTrue="1">
      <formula>IF(SUM($N18:$N21)=12,1,0)</formula>
    </cfRule>
  </conditionalFormatting>
  <conditionalFormatting sqref="M20:S20 M26:S26 M32:S32 M38:S38">
    <cfRule type="expression" dxfId="51" priority="72" stopIfTrue="1">
      <formula>IF(SUM($N18:$N21)=12,1,0)</formula>
    </cfRule>
  </conditionalFormatting>
  <conditionalFormatting sqref="E16:E41">
    <cfRule type="expression" dxfId="50" priority="79" stopIfTrue="1">
      <formula>IF(AND($F16&gt;$G16,ISNUMBER($F16),ISNUMBER($G16)),1,0)</formula>
    </cfRule>
    <cfRule type="expression" dxfId="49" priority="80" stopIfTrue="1">
      <formula>IF(AND($F16&lt;$G16,ISNUMBER($F16),ISNUMBER($G16)),1,0)</formula>
    </cfRule>
    <cfRule type="expression" dxfId="48" priority="81" stopIfTrue="1">
      <formula>IF(AND($F16=$G16,ISNUMBER($F16),ISNUMBER($G16)),1,0)</formula>
    </cfRule>
  </conditionalFormatting>
  <conditionalFormatting sqref="H16 H18:H41">
    <cfRule type="expression" dxfId="47" priority="82" stopIfTrue="1">
      <formula>IF(AND($F16&lt;$G16,ISNUMBER($F16),ISNUMBER($G16)),1,0)</formula>
    </cfRule>
    <cfRule type="expression" dxfId="46" priority="83" stopIfTrue="1">
      <formula>IF(AND($F16&gt;$G16,ISNUMBER($F16),ISNUMBER($G16)),1,0)</formula>
    </cfRule>
    <cfRule type="expression" dxfId="45" priority="84" stopIfTrue="1">
      <formula>IF(AND($F16=$G16,ISNUMBER($F16),ISNUMBER($G16)),1,0)</formula>
    </cfRule>
  </conditionalFormatting>
  <conditionalFormatting sqref="J64 J70:J71 J57:J58 J49:J54">
    <cfRule type="expression" dxfId="44" priority="89" stopIfTrue="1">
      <formula>IF(AND($J49&gt;$K49,ISNUMBER($J49),ISNUMBER($K49)),1,0)</formula>
    </cfRule>
  </conditionalFormatting>
  <conditionalFormatting sqref="K64 K70:K71 K57:K58 K49:K54">
    <cfRule type="expression" dxfId="43" priority="90" stopIfTrue="1">
      <formula>IF(AND($J49&lt;$K49,ISNUMBER($J49),ISNUMBER($K49)),1,0)</formula>
    </cfRule>
  </conditionalFormatting>
  <conditionalFormatting sqref="E70:E71">
    <cfRule type="expression" dxfId="42" priority="3">
      <formula>$E$70=$AC$23</formula>
    </cfRule>
    <cfRule type="expression" dxfId="41" priority="113" stopIfTrue="1">
      <formula>IF($E70=$W65,1,0)</formula>
    </cfRule>
    <cfRule type="expression" dxfId="40" priority="114" stopIfTrue="1">
      <formula>IF($H70=$W65,1,0)</formula>
    </cfRule>
  </conditionalFormatting>
  <conditionalFormatting sqref="H70:H71">
    <cfRule type="expression" dxfId="39" priority="2">
      <formula>$H$70=$AC$23</formula>
    </cfRule>
    <cfRule type="expression" dxfId="38" priority="123" stopIfTrue="1">
      <formula>IF($H70=$W65,1,0)</formula>
    </cfRule>
    <cfRule type="expression" dxfId="37" priority="124" stopIfTrue="1">
      <formula>IF($E70=$W65,1,0)</formula>
    </cfRule>
  </conditionalFormatting>
  <conditionalFormatting sqref="F47">
    <cfRule type="expression" dxfId="36" priority="23" stopIfTrue="1">
      <formula>IF(AND($F47&gt;$G47,ISNUMBER($F47),ISNUMBER($G47)),1,0)</formula>
    </cfRule>
  </conditionalFormatting>
  <conditionalFormatting sqref="J47">
    <cfRule type="expression" dxfId="35" priority="22" stopIfTrue="1">
      <formula>IF(AND($F47&gt;$G47,ISNUMBER($F47),ISNUMBER($G47)),1,0)</formula>
    </cfRule>
  </conditionalFormatting>
  <conditionalFormatting sqref="F16:G39">
    <cfRule type="expression" dxfId="34" priority="20" stopIfTrue="1">
      <formula>IF(AND($F16&gt;$G16,ISNUMBER($F16),ISNUMBER($G16)),1,0)</formula>
    </cfRule>
  </conditionalFormatting>
  <conditionalFormatting sqref="F48">
    <cfRule type="expression" dxfId="33" priority="18" stopIfTrue="1">
      <formula>IF(AND($F48&gt;$G48,ISNUMBER($F48),ISNUMBER($G48)),1,0)</formula>
    </cfRule>
  </conditionalFormatting>
  <conditionalFormatting sqref="G48">
    <cfRule type="expression" dxfId="32" priority="19" stopIfTrue="1">
      <formula>IF(AND($F48&lt;$G48,ISNUMBER($F48),ISNUMBER($G48)),1,0)</formula>
    </cfRule>
  </conditionalFormatting>
  <conditionalFormatting sqref="J48">
    <cfRule type="expression" dxfId="31" priority="16" stopIfTrue="1">
      <formula>IF(AND($J48&gt;$K48,ISNUMBER($J48),ISNUMBER($K48)),1,0)</formula>
    </cfRule>
  </conditionalFormatting>
  <conditionalFormatting sqref="K48">
    <cfRule type="expression" dxfId="30" priority="17" stopIfTrue="1">
      <formula>IF(AND($J48&lt;$K48,ISNUMBER($J48),ISNUMBER($K48)),1,0)</formula>
    </cfRule>
  </conditionalFormatting>
  <conditionalFormatting sqref="H17">
    <cfRule type="expression" dxfId="29" priority="10" stopIfTrue="1">
      <formula>IF(AND($F17&lt;$G17,ISNUMBER($F17),ISNUMBER($G17)),1,0)</formula>
    </cfRule>
    <cfRule type="expression" dxfId="28" priority="11" stopIfTrue="1">
      <formula>IF(AND($F17&gt;$G17,ISNUMBER($F17),ISNUMBER($G17)),1,0)</formula>
    </cfRule>
    <cfRule type="expression" dxfId="27" priority="12" stopIfTrue="1">
      <formula>IF(AND($F17=$G17,ISNUMBER($F17),ISNUMBER($G17)),1,0)</formula>
    </cfRule>
  </conditionalFormatting>
  <conditionalFormatting sqref="E57:E58 E64 E48 E51">
    <cfRule type="expression" dxfId="26" priority="183" stopIfTrue="1">
      <formula>IF($E48=$W48,1,0)</formula>
    </cfRule>
    <cfRule type="expression" dxfId="25" priority="184" stopIfTrue="1">
      <formula>IF($H48=$W48,1,0)</formula>
    </cfRule>
  </conditionalFormatting>
  <conditionalFormatting sqref="H57:H58 H64 H48 H51">
    <cfRule type="expression" dxfId="24" priority="185" stopIfTrue="1">
      <formula>IF($H48=$W48,1,0)</formula>
    </cfRule>
    <cfRule type="expression" dxfId="23" priority="186" stopIfTrue="1">
      <formula>IF($E48=$W48,1,0)</formula>
    </cfRule>
  </conditionalFormatting>
  <conditionalFormatting sqref="E49">
    <cfRule type="expression" dxfId="22" priority="201" stopIfTrue="1">
      <formula>IF($E49=$W50,1,0)</formula>
    </cfRule>
    <cfRule type="expression" dxfId="21" priority="202" stopIfTrue="1">
      <formula>IF($H49=$W50,1,0)</formula>
    </cfRule>
  </conditionalFormatting>
  <conditionalFormatting sqref="H49">
    <cfRule type="expression" dxfId="20" priority="203" stopIfTrue="1">
      <formula>IF($H49=$W50,1,0)</formula>
    </cfRule>
    <cfRule type="expression" dxfId="19" priority="204" stopIfTrue="1">
      <formula>IF($E49=$W50,1,0)</formula>
    </cfRule>
  </conditionalFormatting>
  <conditionalFormatting sqref="E52:E53">
    <cfRule type="expression" dxfId="18" priority="217" stopIfTrue="1">
      <formula>IF($E52=#REF!,1,0)</formula>
    </cfRule>
    <cfRule type="expression" dxfId="17" priority="218" stopIfTrue="1">
      <formula>IF($H52=#REF!,1,0)</formula>
    </cfRule>
  </conditionalFormatting>
  <conditionalFormatting sqref="H52:H53">
    <cfRule type="expression" dxfId="16" priority="219" stopIfTrue="1">
      <formula>IF($H52=#REF!,1,0)</formula>
    </cfRule>
    <cfRule type="expression" dxfId="15" priority="220" stopIfTrue="1">
      <formula>IF($E52=#REF!,1,0)</formula>
    </cfRule>
  </conditionalFormatting>
  <conditionalFormatting sqref="E54">
    <cfRule type="expression" dxfId="14" priority="223" stopIfTrue="1">
      <formula>IF($E54=#REF!,1,0)</formula>
    </cfRule>
    <cfRule type="expression" dxfId="13" priority="224" stopIfTrue="1">
      <formula>IF($H54=#REF!,1,0)</formula>
    </cfRule>
  </conditionalFormatting>
  <conditionalFormatting sqref="H54">
    <cfRule type="expression" dxfId="12" priority="227" stopIfTrue="1">
      <formula>IF($H54=#REF!,1,0)</formula>
    </cfRule>
    <cfRule type="expression" dxfId="11" priority="228" stopIfTrue="1">
      <formula>IF($E54=#REF!,1,0)</formula>
    </cfRule>
  </conditionalFormatting>
  <conditionalFormatting sqref="E50">
    <cfRule type="expression" dxfId="10" priority="229" stopIfTrue="1">
      <formula>IF($E50=$W49,1,0)</formula>
    </cfRule>
    <cfRule type="expression" dxfId="9" priority="230" stopIfTrue="1">
      <formula>IF($H50=$W49,1,0)</formula>
    </cfRule>
  </conditionalFormatting>
  <conditionalFormatting sqref="H50">
    <cfRule type="expression" dxfId="8" priority="231" stopIfTrue="1">
      <formula>IF($H50=$W49,1,0)</formula>
    </cfRule>
    <cfRule type="expression" dxfId="7" priority="232" stopIfTrue="1">
      <formula>IF($E50=$W49,1,0)</formula>
    </cfRule>
  </conditionalFormatting>
  <conditionalFormatting sqref="A49:K49">
    <cfRule type="expression" dxfId="6" priority="9">
      <formula>$E$49=$AC$23</formula>
    </cfRule>
  </conditionalFormatting>
  <conditionalFormatting sqref="A48:K48">
    <cfRule type="expression" dxfId="5" priority="8">
      <formula>$H$48=$AC$23</formula>
    </cfRule>
  </conditionalFormatting>
  <conditionalFormatting sqref="A57:K57">
    <cfRule type="expression" dxfId="4" priority="7">
      <formula>$E$57=$AC$23</formula>
    </cfRule>
  </conditionalFormatting>
  <conditionalFormatting sqref="A58:K58">
    <cfRule type="expression" dxfId="3" priority="6">
      <formula>$E$58=$AC$23</formula>
    </cfRule>
  </conditionalFormatting>
  <conditionalFormatting sqref="E64">
    <cfRule type="expression" dxfId="2" priority="5">
      <formula>$E$64=$AC$23</formula>
    </cfRule>
  </conditionalFormatting>
  <conditionalFormatting sqref="H64">
    <cfRule type="expression" dxfId="1" priority="4">
      <formula>$H$64=$AC$23</formula>
    </cfRule>
  </conditionalFormatting>
  <conditionalFormatting sqref="F74:K75">
    <cfRule type="expression" dxfId="0" priority="1">
      <formula>$F$74=$AC$23</formula>
    </cfRule>
  </conditionalFormatting>
  <dataValidations count="1">
    <dataValidation type="list" allowBlank="1" showInputMessage="1" showErrorMessage="1" sqref="J48:J51 J64:K64 F70 F16:G39 J57:K58 F48 G48 F49 G49 F50 G50 F51 G51 F57 G57 F58 G58 F64 G64 K70 K48:K51 J70 G70">
      <formula1>"0,1,2,3,4,5,6,7,8,9,10,11,12,13,14,15,16,17,18,19,20"</formula1>
    </dataValidation>
  </dataValidations>
  <hyperlinks>
    <hyperlink ref="P12" location="Settings!C4" tooltip="Settings" display="Settings!C4"/>
    <hyperlink ref="M14:S14" r:id="rId1" tooltip="Excel Schedule" display="Home Page: www.excely.com"/>
    <hyperlink ref="M14:S15" r:id="rId2" tooltip="World Cup 2014 Schedule in Excel" display="http://www.xushnudbek.uz/"/>
    <hyperlink ref="P12:S12" location="Settings!A1" tooltip="Settings" display="Settings!A1"/>
    <hyperlink ref="A1:S1" r:id="rId3" display="XABARDOR.UZ  —  СИЗ УЧУН КЕЧА-КУНДУЗ"/>
    <hyperlink ref="C2:Q2" r:id="rId4" display="ЎЗБЕК ТИЛИДАГИ ЭНГ ПОЗИТИВ САЙТГА МАРҲАМАТ"/>
    <hyperlink ref="A3:S3" r:id="rId5" display=","/>
    <hyperlink ref="R2:S2" r:id="rId6" display=","/>
    <hyperlink ref="A2:B2" r:id="rId7" display=","/>
    <hyperlink ref="A9:D10" r:id="rId8" display="http://www.telegraf.uz/"/>
    <hyperlink ref="E7:G10" r:id="rId9" display="http://www.skychess.uz/"/>
    <hyperlink ref="H10:L10" r:id="rId10" display="https://www.facebook.com/Chustiy.Cuisine"/>
    <hyperlink ref="I7:L9" r:id="rId11" display="https://www.facebook.com/Chustiy.Cuisine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57" orientation="portrait" r:id="rId12"/>
  <headerFooter alignWithMargins="0">
    <oddFooter>&amp;CБарча ҳуқуқлар ҳимояланган
www.xushnudbek.uz (c) 2014</oddFooter>
  </headerFooter>
  <ignoredErrors>
    <ignoredError sqref="H58 B50:D50" formula="1"/>
    <ignoredError sqref="J47 F47" unlockedFormula="1"/>
  </ignoredErrors>
  <drawing r:id="rId13"/>
  <picture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15</vt:i4>
      </vt:variant>
    </vt:vector>
  </HeadingPairs>
  <TitlesOfParts>
    <vt:vector size="18" baseType="lpstr">
      <vt:lpstr>T</vt:lpstr>
      <vt:lpstr>Settings</vt:lpstr>
      <vt:lpstr>Asian Cup 2015</vt:lpstr>
      <vt:lpstr>A</vt:lpstr>
      <vt:lpstr>B</vt:lpstr>
      <vt:lpstr>C_group</vt:lpstr>
      <vt:lpstr>cards_A_group</vt:lpstr>
      <vt:lpstr>cards_B_group</vt:lpstr>
      <vt:lpstr>cards_C_group</vt:lpstr>
      <vt:lpstr>cards_D_group</vt:lpstr>
      <vt:lpstr>D</vt:lpstr>
      <vt:lpstr>db_fifarank</vt:lpstr>
      <vt:lpstr>gmt_delta</vt:lpstr>
      <vt:lpstr>itype</vt:lpstr>
      <vt:lpstr>lang</vt:lpstr>
      <vt:lpstr>lang_list</vt:lpstr>
      <vt:lpstr>T</vt:lpstr>
      <vt:lpstr>'Asian Cup 2015'!Область_печати</vt:lpstr>
    </vt:vector>
  </TitlesOfParts>
  <Company>www.xushnudbek.uz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Cup 2015 Schedule</dc:title>
  <dc:creator>Xushnudbek</dc:creator>
  <cp:lastModifiedBy>user</cp:lastModifiedBy>
  <cp:lastPrinted>2015-01-08T07:06:50Z</cp:lastPrinted>
  <dcterms:created xsi:type="dcterms:W3CDTF">2008-09-24T12:14:29Z</dcterms:created>
  <dcterms:modified xsi:type="dcterms:W3CDTF">2015-01-08T11:46:51Z</dcterms:modified>
</cp:coreProperties>
</file>